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G:\manzinetworks-tyroo-dgm-etc related stuff\"/>
    </mc:Choice>
  </mc:AlternateContent>
  <xr:revisionPtr revIDLastSave="0" documentId="13_ncr:1_{1D25630E-52F9-46A7-B120-70A25EDD65A3}" xr6:coauthVersionLast="45" xr6:coauthVersionMax="45" xr10:uidLastSave="{00000000-0000-0000-0000-000000000000}"/>
  <bookViews>
    <workbookView xWindow="-120" yWindow="-120" windowWidth="20730" windowHeight="11280" tabRatio="884" firstSheet="1" activeTab="1" xr2:uid="{00000000-000D-0000-FFFF-FFFF00000000}"/>
  </bookViews>
  <sheets>
    <sheet name="MONTHWISE" sheetId="23" r:id="rId1"/>
    <sheet name="HOME" sheetId="1" r:id="rId2"/>
    <sheet name="KOMLI" sheetId="2" r:id="rId3"/>
    <sheet name="Fork Media" sheetId="3" r:id="rId4"/>
    <sheet name="Adomantra" sheetId="4" r:id="rId5"/>
    <sheet name="iCubes" sheetId="5" r:id="rId6"/>
    <sheet name="Media-Conversion" sheetId="6" r:id="rId7"/>
    <sheet name="Bizvin" sheetId="7" r:id="rId8"/>
    <sheet name="SVG+DGM" sheetId="8" r:id="rId9"/>
    <sheet name="Dcreative" sheetId="9" r:id="rId10"/>
    <sheet name="DigiDesk" sheetId="10" r:id="rId11"/>
    <sheet name="Opicle" sheetId="11" r:id="rId12"/>
    <sheet name="Aqugen" sheetId="12" r:id="rId13"/>
    <sheet name="Pracharnama" sheetId="34" r:id="rId14"/>
    <sheet name="Catalyst" sheetId="27" r:id="rId15"/>
    <sheet name="HTTPOOL" sheetId="13" r:id="rId16"/>
    <sheet name="Sense Digital" sheetId="15" r:id="rId17"/>
    <sheet name="AD2Click" sheetId="20" r:id="rId18"/>
    <sheet name="Vertoz" sheetId="21" r:id="rId19"/>
    <sheet name="Mobinet" sheetId="22" r:id="rId20"/>
    <sheet name="OptiMidea" sheetId="16" r:id="rId21"/>
    <sheet name="CTN" sheetId="14" r:id="rId22"/>
    <sheet name="Rappier" sheetId="33" r:id="rId23"/>
    <sheet name="AdsPayMedia" sheetId="29" r:id="rId24"/>
    <sheet name="Adclickzone" sheetId="30" r:id="rId25"/>
    <sheet name="AdSpar" sheetId="31" r:id="rId26"/>
    <sheet name="Esperto" sheetId="36" r:id="rId27"/>
    <sheet name="Adhunterz" sheetId="32" r:id="rId28"/>
    <sheet name="Adzjunction" sheetId="35" r:id="rId29"/>
    <sheet name="Zeematics" sheetId="37" r:id="rId30"/>
    <sheet name="Value First" sheetId="17" r:id="rId31"/>
    <sheet name="Girnarsoft" sheetId="18" r:id="rId32"/>
    <sheet name="Myinsuranceclub" sheetId="24" r:id="rId33"/>
    <sheet name="Refearn" sheetId="25" r:id="rId34"/>
    <sheet name="Admitad" sheetId="26" r:id="rId35"/>
    <sheet name="Xapads" sheetId="28" r:id="rId36"/>
    <sheet name="BAD DEBTS" sheetId="19" r:id="rId37"/>
  </sheets>
  <definedNames>
    <definedName name="_xlnm._FilterDatabase" localSheetId="0" hidden="1">MONTHWISE!$A$4:$K$322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6" l="1"/>
  <c r="I33" i="6" s="1"/>
  <c r="H316" i="23" l="1"/>
  <c r="H317" i="23"/>
  <c r="H318" i="23"/>
  <c r="H319" i="23"/>
  <c r="H320" i="23"/>
  <c r="H321" i="23"/>
  <c r="H322" i="23"/>
  <c r="G322" i="23"/>
  <c r="E322" i="23" s="1"/>
  <c r="G321" i="23"/>
  <c r="E321" i="23" s="1"/>
  <c r="G320" i="23"/>
  <c r="E320" i="23" s="1"/>
  <c r="G319" i="23"/>
  <c r="E319" i="23" s="1"/>
  <c r="G318" i="23"/>
  <c r="E318" i="23" s="1"/>
  <c r="G317" i="23"/>
  <c r="E317" i="23" s="1"/>
  <c r="G316" i="23"/>
  <c r="E316" i="23"/>
  <c r="H7" i="8"/>
  <c r="F7" i="8" s="1"/>
  <c r="L7" i="8" s="1"/>
  <c r="K7" i="8"/>
  <c r="H8" i="8"/>
  <c r="F8" i="8" s="1"/>
  <c r="K8" i="8"/>
  <c r="G43" i="23"/>
  <c r="H43" i="23"/>
  <c r="G44" i="23"/>
  <c r="E44" i="23" s="1"/>
  <c r="H44" i="23"/>
  <c r="L8" i="8" l="1"/>
  <c r="I320" i="23"/>
  <c r="I318" i="23"/>
  <c r="I322" i="23"/>
  <c r="I316" i="23"/>
  <c r="I319" i="23"/>
  <c r="I321" i="23"/>
  <c r="I317" i="23"/>
  <c r="E43" i="23"/>
  <c r="I43" i="23" s="1"/>
  <c r="I44" i="23"/>
  <c r="H314" i="23" l="1"/>
  <c r="H315" i="23"/>
  <c r="G315" i="23"/>
  <c r="E315" i="23" s="1"/>
  <c r="G314" i="23"/>
  <c r="E314" i="23" l="1"/>
  <c r="I314" i="23" s="1"/>
  <c r="I315" i="23"/>
  <c r="H13" i="2" l="1"/>
  <c r="F13" i="2" s="1"/>
  <c r="L13" i="2" s="1"/>
  <c r="K13" i="2"/>
  <c r="H312" i="23" l="1"/>
  <c r="H313" i="23"/>
  <c r="G313" i="23"/>
  <c r="E313" i="23" s="1"/>
  <c r="M13" i="37"/>
  <c r="E24" i="1" s="1"/>
  <c r="G13" i="37"/>
  <c r="J11" i="37"/>
  <c r="J10" i="37"/>
  <c r="J9" i="37"/>
  <c r="K8" i="37"/>
  <c r="J8" i="37"/>
  <c r="H8" i="37"/>
  <c r="F8" i="37"/>
  <c r="L8" i="37" s="1"/>
  <c r="K7" i="37"/>
  <c r="J7" i="37"/>
  <c r="H7" i="37"/>
  <c r="F7" i="37"/>
  <c r="L7" i="37" s="1"/>
  <c r="K6" i="37"/>
  <c r="J6" i="37"/>
  <c r="H6" i="37"/>
  <c r="F6" i="37"/>
  <c r="L6" i="37" s="1"/>
  <c r="K5" i="37"/>
  <c r="J5" i="37"/>
  <c r="H5" i="37"/>
  <c r="F5" i="37"/>
  <c r="L5" i="37" s="1"/>
  <c r="K4" i="37"/>
  <c r="J4" i="37"/>
  <c r="H4" i="37"/>
  <c r="F4" i="37" s="1"/>
  <c r="L4" i="37" s="1"/>
  <c r="K3" i="37"/>
  <c r="J3" i="37"/>
  <c r="H3" i="37"/>
  <c r="F3" i="37" s="1"/>
  <c r="L3" i="37" s="1"/>
  <c r="K2" i="37"/>
  <c r="K13" i="37" s="1"/>
  <c r="J2" i="37"/>
  <c r="H2" i="37"/>
  <c r="F2" i="37" s="1"/>
  <c r="F13" i="37" l="1"/>
  <c r="B24" i="1" s="1"/>
  <c r="I313" i="23"/>
  <c r="L2" i="37"/>
  <c r="L13" i="37" s="1"/>
  <c r="D24" i="1" s="1"/>
  <c r="F24" i="1" s="1"/>
  <c r="H13" i="37"/>
  <c r="C24" i="1" s="1"/>
  <c r="G301" i="23"/>
  <c r="E301" i="23" s="1"/>
  <c r="H308" i="23" l="1"/>
  <c r="H309" i="23"/>
  <c r="H310" i="23"/>
  <c r="H311" i="23"/>
  <c r="G312" i="23"/>
  <c r="G311" i="23"/>
  <c r="E311" i="23" s="1"/>
  <c r="G310" i="23"/>
  <c r="E310" i="23" s="1"/>
  <c r="G309" i="23"/>
  <c r="G308" i="23"/>
  <c r="E308" i="23" s="1"/>
  <c r="G307" i="23"/>
  <c r="E307" i="23" s="1"/>
  <c r="G306" i="23"/>
  <c r="E306" i="23" s="1"/>
  <c r="G305" i="23"/>
  <c r="E305" i="23" s="1"/>
  <c r="G304" i="23"/>
  <c r="E304" i="23" s="1"/>
  <c r="G303" i="23"/>
  <c r="E303" i="23" s="1"/>
  <c r="G302" i="23"/>
  <c r="E302" i="23" s="1"/>
  <c r="G300" i="23"/>
  <c r="E300" i="23" s="1"/>
  <c r="G299" i="23"/>
  <c r="E299" i="23" s="1"/>
  <c r="G298" i="23"/>
  <c r="E298" i="23" s="1"/>
  <c r="G297" i="23"/>
  <c r="E297" i="23" s="1"/>
  <c r="G296" i="23"/>
  <c r="E296" i="23" s="1"/>
  <c r="G295" i="23"/>
  <c r="E295" i="23" s="1"/>
  <c r="G294" i="23"/>
  <c r="E294" i="23" s="1"/>
  <c r="G293" i="23"/>
  <c r="E293" i="23" s="1"/>
  <c r="H80" i="4"/>
  <c r="F80" i="4" s="1"/>
  <c r="L80" i="4" s="1"/>
  <c r="J80" i="4"/>
  <c r="K80" i="4"/>
  <c r="H81" i="4"/>
  <c r="F81" i="4" s="1"/>
  <c r="L81" i="4" s="1"/>
  <c r="J81" i="4"/>
  <c r="K81" i="4"/>
  <c r="H82" i="4"/>
  <c r="F82" i="4" s="1"/>
  <c r="J82" i="4"/>
  <c r="K82" i="4"/>
  <c r="H83" i="4"/>
  <c r="F83" i="4" s="1"/>
  <c r="J83" i="4"/>
  <c r="K83" i="4"/>
  <c r="H84" i="4"/>
  <c r="F84" i="4" s="1"/>
  <c r="L84" i="4" s="1"/>
  <c r="J84" i="4"/>
  <c r="K84" i="4"/>
  <c r="H85" i="4"/>
  <c r="F85" i="4" s="1"/>
  <c r="L85" i="4" s="1"/>
  <c r="J85" i="4"/>
  <c r="K85" i="4"/>
  <c r="H86" i="4"/>
  <c r="F86" i="4" s="1"/>
  <c r="J86" i="4"/>
  <c r="K86" i="4"/>
  <c r="H87" i="4"/>
  <c r="F87" i="4" s="1"/>
  <c r="J87" i="4"/>
  <c r="K87" i="4"/>
  <c r="H72" i="4"/>
  <c r="F72" i="4" s="1"/>
  <c r="L72" i="4" s="1"/>
  <c r="J72" i="4"/>
  <c r="K72" i="4"/>
  <c r="H73" i="4"/>
  <c r="F73" i="4" s="1"/>
  <c r="L73" i="4" s="1"/>
  <c r="J73" i="4"/>
  <c r="K73" i="4"/>
  <c r="H74" i="4"/>
  <c r="F74" i="4" s="1"/>
  <c r="J74" i="4"/>
  <c r="K74" i="4"/>
  <c r="H75" i="4"/>
  <c r="F75" i="4" s="1"/>
  <c r="J75" i="4"/>
  <c r="K75" i="4"/>
  <c r="H76" i="4"/>
  <c r="F76" i="4" s="1"/>
  <c r="L76" i="4" s="1"/>
  <c r="J76" i="4"/>
  <c r="K76" i="4"/>
  <c r="H77" i="4"/>
  <c r="F77" i="4" s="1"/>
  <c r="L77" i="4" s="1"/>
  <c r="J77" i="4"/>
  <c r="K77" i="4"/>
  <c r="H78" i="4"/>
  <c r="F78" i="4" s="1"/>
  <c r="J78" i="4"/>
  <c r="K78" i="4"/>
  <c r="H79" i="4"/>
  <c r="F79" i="4" s="1"/>
  <c r="L79" i="4" s="1"/>
  <c r="J79" i="4"/>
  <c r="K79" i="4"/>
  <c r="L78" i="4" l="1"/>
  <c r="L74" i="4"/>
  <c r="L86" i="4"/>
  <c r="L82" i="4"/>
  <c r="L75" i="4"/>
  <c r="L87" i="4"/>
  <c r="L83" i="4"/>
  <c r="E309" i="23"/>
  <c r="I309" i="23" s="1"/>
  <c r="E312" i="23"/>
  <c r="I312" i="23" s="1"/>
  <c r="I310" i="23"/>
  <c r="I311" i="23"/>
  <c r="I308" i="2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" i="3"/>
  <c r="G292" i="23" l="1"/>
  <c r="E292" i="23" s="1"/>
  <c r="M13" i="36"/>
  <c r="E27" i="1" s="1"/>
  <c r="G13" i="36"/>
  <c r="J11" i="36"/>
  <c r="J10" i="36"/>
  <c r="J9" i="36"/>
  <c r="K8" i="36"/>
  <c r="J8" i="36"/>
  <c r="H8" i="36"/>
  <c r="F8" i="36" s="1"/>
  <c r="K7" i="36"/>
  <c r="J7" i="36"/>
  <c r="H7" i="36"/>
  <c r="F7" i="36" s="1"/>
  <c r="L7" i="36" s="1"/>
  <c r="K6" i="36"/>
  <c r="J6" i="36"/>
  <c r="H6" i="36"/>
  <c r="F6" i="36"/>
  <c r="L6" i="36" s="1"/>
  <c r="K5" i="36"/>
  <c r="J5" i="36"/>
  <c r="H5" i="36"/>
  <c r="F5" i="36" s="1"/>
  <c r="L5" i="36" s="1"/>
  <c r="K4" i="36"/>
  <c r="J4" i="36"/>
  <c r="H4" i="36"/>
  <c r="F4" i="36"/>
  <c r="K3" i="36"/>
  <c r="J3" i="36"/>
  <c r="H3" i="36"/>
  <c r="F3" i="36" s="1"/>
  <c r="K2" i="36"/>
  <c r="J2" i="36"/>
  <c r="H2" i="36"/>
  <c r="F2" i="36"/>
  <c r="L8" i="36" l="1"/>
  <c r="L4" i="36"/>
  <c r="L3" i="36"/>
  <c r="K13" i="36"/>
  <c r="F13" i="36"/>
  <c r="B27" i="1" s="1"/>
  <c r="L2" i="36"/>
  <c r="L13" i="36" s="1"/>
  <c r="D27" i="1" s="1"/>
  <c r="F27" i="1" s="1"/>
  <c r="H13" i="36"/>
  <c r="C27" i="1" s="1"/>
  <c r="H305" i="23" l="1"/>
  <c r="I305" i="23" s="1"/>
  <c r="H304" i="23"/>
  <c r="I304" i="23" s="1"/>
  <c r="H303" i="23"/>
  <c r="I303" i="23" s="1"/>
  <c r="H302" i="23"/>
  <c r="I302" i="23" s="1"/>
  <c r="H301" i="23"/>
  <c r="I301" i="23" s="1"/>
  <c r="H300" i="23"/>
  <c r="I300" i="23" s="1"/>
  <c r="H299" i="23"/>
  <c r="I299" i="23" s="1"/>
  <c r="H298" i="23"/>
  <c r="I298" i="23" s="1"/>
  <c r="H297" i="23"/>
  <c r="I297" i="23" s="1"/>
  <c r="H296" i="23"/>
  <c r="I296" i="23" s="1"/>
  <c r="H295" i="23"/>
  <c r="I295" i="23" s="1"/>
  <c r="H294" i="23"/>
  <c r="I294" i="23" s="1"/>
  <c r="H293" i="23"/>
  <c r="I293" i="23" s="1"/>
  <c r="H292" i="23"/>
  <c r="I292" i="23" s="1"/>
  <c r="G291" i="23"/>
  <c r="E291" i="23" s="1"/>
  <c r="G290" i="23"/>
  <c r="E290" i="23" s="1"/>
  <c r="K13" i="12"/>
  <c r="H13" i="12"/>
  <c r="F13" i="12" s="1"/>
  <c r="L13" i="12" l="1"/>
  <c r="G284" i="23"/>
  <c r="E284" i="23" s="1"/>
  <c r="G289" i="23"/>
  <c r="E289" i="23" s="1"/>
  <c r="J67" i="4"/>
  <c r="J68" i="4"/>
  <c r="J69" i="4"/>
  <c r="J70" i="4"/>
  <c r="J71" i="4"/>
  <c r="H284" i="23" l="1"/>
  <c r="I284" i="23" s="1"/>
  <c r="H285" i="23"/>
  <c r="H286" i="23"/>
  <c r="H287" i="23"/>
  <c r="H288" i="23"/>
  <c r="G285" i="23"/>
  <c r="E285" i="23" s="1"/>
  <c r="G286" i="23"/>
  <c r="E286" i="23" s="1"/>
  <c r="G287" i="23"/>
  <c r="G288" i="23"/>
  <c r="E287" i="23" l="1"/>
  <c r="I287" i="23" s="1"/>
  <c r="E288" i="23"/>
  <c r="I288" i="23" s="1"/>
  <c r="I286" i="23"/>
  <c r="I285" i="23" l="1"/>
  <c r="G264" i="23" l="1"/>
  <c r="E264" i="23" s="1"/>
  <c r="H289" i="23" l="1"/>
  <c r="I289" i="23" s="1"/>
  <c r="H290" i="23"/>
  <c r="I290" i="23" s="1"/>
  <c r="H291" i="23"/>
  <c r="I291" i="23" s="1"/>
  <c r="G283" i="23" l="1"/>
  <c r="E283" i="23" s="1"/>
  <c r="G282" i="23" l="1"/>
  <c r="E282" i="23" s="1"/>
  <c r="G281" i="23"/>
  <c r="E281" i="23" s="1"/>
  <c r="G280" i="23" l="1"/>
  <c r="E280" i="23" s="1"/>
  <c r="G279" i="23" l="1"/>
  <c r="E279" i="23" s="1"/>
  <c r="G278" i="23"/>
  <c r="E278" i="23" s="1"/>
  <c r="G277" i="23"/>
  <c r="E277" i="23" s="1"/>
  <c r="G276" i="23"/>
  <c r="E276" i="23" s="1"/>
  <c r="G275" i="23" l="1"/>
  <c r="E275" i="23" s="1"/>
  <c r="M13" i="35"/>
  <c r="E25" i="1" s="1"/>
  <c r="G13" i="35"/>
  <c r="J11" i="35"/>
  <c r="J10" i="35"/>
  <c r="J9" i="35"/>
  <c r="K8" i="35"/>
  <c r="J8" i="35"/>
  <c r="H8" i="35"/>
  <c r="F8" i="35" s="1"/>
  <c r="K7" i="35"/>
  <c r="J7" i="35"/>
  <c r="H7" i="35"/>
  <c r="F7" i="35"/>
  <c r="K6" i="35"/>
  <c r="J6" i="35"/>
  <c r="H6" i="35"/>
  <c r="F6" i="35"/>
  <c r="K5" i="35"/>
  <c r="J5" i="35"/>
  <c r="H5" i="35"/>
  <c r="F5" i="35" s="1"/>
  <c r="K4" i="35"/>
  <c r="J4" i="35"/>
  <c r="H4" i="35"/>
  <c r="F4" i="35" s="1"/>
  <c r="L4" i="35" s="1"/>
  <c r="K3" i="35"/>
  <c r="J3" i="35"/>
  <c r="H3" i="35"/>
  <c r="F3" i="35" s="1"/>
  <c r="L3" i="35" s="1"/>
  <c r="K2" i="35"/>
  <c r="J2" i="35"/>
  <c r="H2" i="35"/>
  <c r="F2" i="35"/>
  <c r="L2" i="35" s="1"/>
  <c r="L7" i="35" l="1"/>
  <c r="L8" i="35"/>
  <c r="L6" i="35"/>
  <c r="L13" i="35" s="1"/>
  <c r="D25" i="1" s="1"/>
  <c r="F25" i="1" s="1"/>
  <c r="L5" i="35"/>
  <c r="K13" i="35"/>
  <c r="F13" i="35"/>
  <c r="B25" i="1" s="1"/>
  <c r="H13" i="35"/>
  <c r="C25" i="1" s="1"/>
  <c r="G274" i="23"/>
  <c r="E274" i="23" s="1"/>
  <c r="G273" i="23" l="1"/>
  <c r="E273" i="23" s="1"/>
  <c r="G272" i="23"/>
  <c r="E272" i="23" s="1"/>
  <c r="H275" i="23" l="1"/>
  <c r="I275" i="23" s="1"/>
  <c r="H276" i="23"/>
  <c r="I276" i="23" s="1"/>
  <c r="H277" i="23"/>
  <c r="I277" i="23" s="1"/>
  <c r="H278" i="23"/>
  <c r="I278" i="23" s="1"/>
  <c r="H279" i="23"/>
  <c r="I279" i="23" s="1"/>
  <c r="H280" i="23"/>
  <c r="I280" i="23" s="1"/>
  <c r="H281" i="23"/>
  <c r="I281" i="23" s="1"/>
  <c r="H282" i="23"/>
  <c r="I282" i="23" s="1"/>
  <c r="H283" i="23"/>
  <c r="I283" i="23" s="1"/>
  <c r="G271" i="23"/>
  <c r="E271" i="23" s="1"/>
  <c r="G270" i="23"/>
  <c r="E270" i="23" s="1"/>
  <c r="K12" i="22"/>
  <c r="K13" i="22"/>
  <c r="K14" i="22"/>
  <c r="K15" i="22"/>
  <c r="H12" i="22"/>
  <c r="H13" i="22"/>
  <c r="F13" i="22" s="1"/>
  <c r="L13" i="22" s="1"/>
  <c r="H14" i="22"/>
  <c r="F14" i="22" s="1"/>
  <c r="L14" i="22" s="1"/>
  <c r="H15" i="22"/>
  <c r="F15" i="22" s="1"/>
  <c r="L15" i="22" s="1"/>
  <c r="F12" i="22"/>
  <c r="L12" i="22" s="1"/>
  <c r="G269" i="23" l="1"/>
  <c r="E269" i="23" s="1"/>
  <c r="G268" i="23"/>
  <c r="E268" i="23" s="1"/>
  <c r="J11" i="22"/>
  <c r="J10" i="22"/>
  <c r="G267" i="23"/>
  <c r="E267" i="23" s="1"/>
  <c r="G266" i="23" l="1"/>
  <c r="E266" i="23" s="1"/>
  <c r="G265" i="23"/>
  <c r="E265" i="23" s="1"/>
  <c r="G263" i="23" l="1"/>
  <c r="E263" i="23" s="1"/>
  <c r="K3" i="28"/>
  <c r="K4" i="28"/>
  <c r="K5" i="28"/>
  <c r="K6" i="28"/>
  <c r="K7" i="28"/>
  <c r="K8" i="28"/>
  <c r="K9" i="28"/>
  <c r="H3" i="28"/>
  <c r="H4" i="28"/>
  <c r="H5" i="28"/>
  <c r="F5" i="28" s="1"/>
  <c r="H6" i="28"/>
  <c r="F6" i="28" s="1"/>
  <c r="L6" i="28" s="1"/>
  <c r="H7" i="28"/>
  <c r="H8" i="28"/>
  <c r="H9" i="28"/>
  <c r="F3" i="28"/>
  <c r="L3" i="28" s="1"/>
  <c r="F4" i="28"/>
  <c r="L4" i="28" s="1"/>
  <c r="F7" i="28"/>
  <c r="L7" i="28" s="1"/>
  <c r="L5" i="28" l="1"/>
  <c r="G262" i="23"/>
  <c r="E262" i="23" s="1"/>
  <c r="H3" i="34"/>
  <c r="H4" i="34"/>
  <c r="F4" i="34" s="1"/>
  <c r="L4" i="34" s="1"/>
  <c r="H5" i="34"/>
  <c r="H6" i="34"/>
  <c r="H7" i="34"/>
  <c r="H8" i="34"/>
  <c r="F8" i="34" s="1"/>
  <c r="L8" i="34" s="1"/>
  <c r="H9" i="34"/>
  <c r="F9" i="34" s="1"/>
  <c r="H10" i="34"/>
  <c r="H11" i="34"/>
  <c r="H12" i="34"/>
  <c r="F12" i="34" s="1"/>
  <c r="L12" i="34" s="1"/>
  <c r="H2" i="34"/>
  <c r="K3" i="34"/>
  <c r="K4" i="34"/>
  <c r="K5" i="34"/>
  <c r="K6" i="34"/>
  <c r="K7" i="34"/>
  <c r="K8" i="34"/>
  <c r="K9" i="34"/>
  <c r="K10" i="34"/>
  <c r="K11" i="34"/>
  <c r="K12" i="34"/>
  <c r="F5" i="34"/>
  <c r="L5" i="34" s="1"/>
  <c r="F3" i="34"/>
  <c r="F6" i="34"/>
  <c r="F7" i="34"/>
  <c r="L7" i="34" s="1"/>
  <c r="F10" i="34"/>
  <c r="L10" i="34" s="1"/>
  <c r="F11" i="34"/>
  <c r="L11" i="34" s="1"/>
  <c r="M14" i="34"/>
  <c r="E16" i="1" s="1"/>
  <c r="G14" i="34"/>
  <c r="K2" i="34"/>
  <c r="L6" i="34" l="1"/>
  <c r="L9" i="34"/>
  <c r="H14" i="34"/>
  <c r="C16" i="1" s="1"/>
  <c r="L3" i="34"/>
  <c r="F2" i="34"/>
  <c r="L2" i="34" s="1"/>
  <c r="K14" i="34"/>
  <c r="N17" i="34"/>
  <c r="N18" i="34" s="1"/>
  <c r="G261" i="23"/>
  <c r="E261" i="23" s="1"/>
  <c r="M13" i="33"/>
  <c r="E26" i="1" s="1"/>
  <c r="G13" i="33"/>
  <c r="J11" i="33"/>
  <c r="J10" i="33"/>
  <c r="J9" i="33"/>
  <c r="K8" i="33"/>
  <c r="J8" i="33"/>
  <c r="H8" i="33"/>
  <c r="F8" i="33" s="1"/>
  <c r="L8" i="33" s="1"/>
  <c r="K7" i="33"/>
  <c r="J7" i="33"/>
  <c r="H7" i="33"/>
  <c r="F7" i="33"/>
  <c r="L7" i="33" s="1"/>
  <c r="K6" i="33"/>
  <c r="J6" i="33"/>
  <c r="H6" i="33"/>
  <c r="F6" i="33"/>
  <c r="L6" i="33" s="1"/>
  <c r="K5" i="33"/>
  <c r="J5" i="33"/>
  <c r="H5" i="33"/>
  <c r="F5" i="33" s="1"/>
  <c r="L5" i="33" s="1"/>
  <c r="K4" i="33"/>
  <c r="J4" i="33"/>
  <c r="H4" i="33"/>
  <c r="F4" i="33" s="1"/>
  <c r="K3" i="33"/>
  <c r="J3" i="33"/>
  <c r="H3" i="33"/>
  <c r="F3" i="33" s="1"/>
  <c r="K2" i="33"/>
  <c r="J2" i="33"/>
  <c r="H2" i="33"/>
  <c r="F2" i="33" s="1"/>
  <c r="G260" i="23"/>
  <c r="E260" i="23" s="1"/>
  <c r="H259" i="23"/>
  <c r="H260" i="23"/>
  <c r="H261" i="23"/>
  <c r="H262" i="23"/>
  <c r="I262" i="23" s="1"/>
  <c r="H263" i="23"/>
  <c r="I263" i="23" s="1"/>
  <c r="H264" i="23"/>
  <c r="I264" i="23" s="1"/>
  <c r="H265" i="23"/>
  <c r="I265" i="23" s="1"/>
  <c r="H266" i="23"/>
  <c r="I266" i="23" s="1"/>
  <c r="H267" i="23"/>
  <c r="I267" i="23" s="1"/>
  <c r="H268" i="23"/>
  <c r="I268" i="23" s="1"/>
  <c r="H269" i="23"/>
  <c r="I269" i="23" s="1"/>
  <c r="H270" i="23"/>
  <c r="I270" i="23" s="1"/>
  <c r="H271" i="23"/>
  <c r="I271" i="23" s="1"/>
  <c r="H272" i="23"/>
  <c r="I272" i="23" s="1"/>
  <c r="H273" i="23"/>
  <c r="I273" i="23" s="1"/>
  <c r="H274" i="23"/>
  <c r="I274" i="23" s="1"/>
  <c r="G259" i="23"/>
  <c r="G258" i="23"/>
  <c r="E258" i="23" s="1"/>
  <c r="K13" i="33" l="1"/>
  <c r="L4" i="33"/>
  <c r="L3" i="33"/>
  <c r="L14" i="34"/>
  <c r="D16" i="1" s="1"/>
  <c r="F16" i="1" s="1"/>
  <c r="E259" i="23"/>
  <c r="I259" i="23" s="1"/>
  <c r="I260" i="23"/>
  <c r="I261" i="23"/>
  <c r="F14" i="34"/>
  <c r="B16" i="1" s="1"/>
  <c r="F13" i="33"/>
  <c r="B26" i="1" s="1"/>
  <c r="H13" i="33"/>
  <c r="C26" i="1" s="1"/>
  <c r="L2" i="33"/>
  <c r="L13" i="33" s="1"/>
  <c r="D26" i="1" s="1"/>
  <c r="F26" i="1" s="1"/>
  <c r="G257" i="23"/>
  <c r="E257" i="23" s="1"/>
  <c r="J2" i="32"/>
  <c r="M13" i="32"/>
  <c r="E32" i="1" s="1"/>
  <c r="G13" i="32"/>
  <c r="J11" i="32"/>
  <c r="J10" i="32"/>
  <c r="J9" i="32"/>
  <c r="K8" i="32"/>
  <c r="J8" i="32"/>
  <c r="H8" i="32"/>
  <c r="F8" i="32" s="1"/>
  <c r="K7" i="32"/>
  <c r="J7" i="32"/>
  <c r="H7" i="32"/>
  <c r="F7" i="32"/>
  <c r="K6" i="32"/>
  <c r="J6" i="32"/>
  <c r="H6" i="32"/>
  <c r="F6" i="32"/>
  <c r="K5" i="32"/>
  <c r="J5" i="32"/>
  <c r="H5" i="32"/>
  <c r="F5" i="32" s="1"/>
  <c r="K4" i="32"/>
  <c r="J4" i="32"/>
  <c r="H4" i="32"/>
  <c r="F4" i="32" s="1"/>
  <c r="L4" i="32" s="1"/>
  <c r="K3" i="32"/>
  <c r="J3" i="32"/>
  <c r="H3" i="32"/>
  <c r="F3" i="32" s="1"/>
  <c r="L3" i="32" s="1"/>
  <c r="K2" i="32"/>
  <c r="H2" i="32"/>
  <c r="F2" i="32" s="1"/>
  <c r="L2" i="32" s="1"/>
  <c r="L6" i="32" l="1"/>
  <c r="L7" i="32"/>
  <c r="L8" i="32"/>
  <c r="K13" i="32"/>
  <c r="L5" i="32"/>
  <c r="L13" i="32"/>
  <c r="D32" i="1" s="1"/>
  <c r="F32" i="1" s="1"/>
  <c r="F13" i="32"/>
  <c r="B32" i="1" s="1"/>
  <c r="H13" i="32"/>
  <c r="C32" i="1" s="1"/>
  <c r="G256" i="23"/>
  <c r="E256" i="23" s="1"/>
  <c r="M13" i="31"/>
  <c r="E22" i="1" s="1"/>
  <c r="G13" i="31"/>
  <c r="J11" i="31"/>
  <c r="J10" i="31"/>
  <c r="J9" i="31"/>
  <c r="K8" i="31"/>
  <c r="J8" i="31"/>
  <c r="H8" i="31"/>
  <c r="F8" i="31"/>
  <c r="L8" i="31" s="1"/>
  <c r="K7" i="31"/>
  <c r="J7" i="31"/>
  <c r="H7" i="31"/>
  <c r="F7" i="31"/>
  <c r="L7" i="31" s="1"/>
  <c r="K6" i="31"/>
  <c r="J6" i="31"/>
  <c r="H6" i="31"/>
  <c r="F6" i="31" s="1"/>
  <c r="L6" i="31" s="1"/>
  <c r="K5" i="31"/>
  <c r="J5" i="31"/>
  <c r="H5" i="31"/>
  <c r="F5" i="31" s="1"/>
  <c r="K4" i="31"/>
  <c r="J4" i="31"/>
  <c r="H4" i="31"/>
  <c r="F4" i="31"/>
  <c r="K3" i="31"/>
  <c r="J3" i="31"/>
  <c r="H3" i="31"/>
  <c r="F3" i="31" s="1"/>
  <c r="K2" i="31"/>
  <c r="H2" i="31"/>
  <c r="G255" i="23"/>
  <c r="E255" i="23" s="1"/>
  <c r="L4" i="31" l="1"/>
  <c r="L5" i="31"/>
  <c r="L3" i="31"/>
  <c r="H13" i="31"/>
  <c r="C22" i="1" s="1"/>
  <c r="K13" i="31"/>
  <c r="F2" i="31"/>
  <c r="G254" i="23"/>
  <c r="E254" i="23" s="1"/>
  <c r="J10" i="11"/>
  <c r="G253" i="23"/>
  <c r="E253" i="23" s="1"/>
  <c r="J11" i="30"/>
  <c r="J10" i="30"/>
  <c r="J9" i="30"/>
  <c r="J8" i="30"/>
  <c r="J7" i="30"/>
  <c r="J6" i="30"/>
  <c r="J5" i="30"/>
  <c r="J4" i="30"/>
  <c r="J3" i="30"/>
  <c r="J2" i="30"/>
  <c r="M13" i="30"/>
  <c r="E21" i="1" s="1"/>
  <c r="G13" i="30"/>
  <c r="K8" i="30"/>
  <c r="H8" i="30"/>
  <c r="F8" i="30" s="1"/>
  <c r="L8" i="30" s="1"/>
  <c r="K7" i="30"/>
  <c r="H7" i="30"/>
  <c r="F7" i="30" s="1"/>
  <c r="L7" i="30" s="1"/>
  <c r="K6" i="30"/>
  <c r="H6" i="30"/>
  <c r="F6" i="30" s="1"/>
  <c r="L6" i="30" s="1"/>
  <c r="K5" i="30"/>
  <c r="H5" i="30"/>
  <c r="F5" i="30" s="1"/>
  <c r="L5" i="30" s="1"/>
  <c r="K4" i="30"/>
  <c r="H4" i="30"/>
  <c r="F4" i="30" s="1"/>
  <c r="L4" i="30" s="1"/>
  <c r="K3" i="30"/>
  <c r="H3" i="30"/>
  <c r="F3" i="30" s="1"/>
  <c r="L3" i="30" s="1"/>
  <c r="K2" i="30"/>
  <c r="H2" i="30"/>
  <c r="F2" i="30" s="1"/>
  <c r="L2" i="30" s="1"/>
  <c r="L2" i="31" l="1"/>
  <c r="L13" i="31" s="1"/>
  <c r="D22" i="1" s="1"/>
  <c r="F22" i="1" s="1"/>
  <c r="F13" i="31"/>
  <c r="B22" i="1" s="1"/>
  <c r="K13" i="30"/>
  <c r="L13" i="30"/>
  <c r="D21" i="1" s="1"/>
  <c r="F21" i="1" s="1"/>
  <c r="F13" i="30"/>
  <c r="B21" i="1" s="1"/>
  <c r="H13" i="30"/>
  <c r="C21" i="1" s="1"/>
  <c r="G252" i="23"/>
  <c r="E252" i="23" s="1"/>
  <c r="G251" i="23" l="1"/>
  <c r="E251" i="23" s="1"/>
  <c r="G250" i="23"/>
  <c r="E250" i="23" s="1"/>
  <c r="G249" i="23" l="1"/>
  <c r="E249" i="23" s="1"/>
  <c r="G248" i="23"/>
  <c r="E248" i="23" s="1"/>
  <c r="G247" i="23"/>
  <c r="E247" i="23" s="1"/>
  <c r="G246" i="23"/>
  <c r="E246" i="23" s="1"/>
  <c r="K60" i="7"/>
  <c r="K61" i="7"/>
  <c r="K62" i="7"/>
  <c r="K63" i="7"/>
  <c r="K64" i="7"/>
  <c r="K65" i="7"/>
  <c r="K66" i="7"/>
  <c r="J60" i="7"/>
  <c r="J61" i="7"/>
  <c r="J62" i="7"/>
  <c r="J63" i="7"/>
  <c r="J64" i="7"/>
  <c r="J65" i="7"/>
  <c r="H60" i="7"/>
  <c r="H61" i="7"/>
  <c r="F61" i="7" s="1"/>
  <c r="L61" i="7" s="1"/>
  <c r="H62" i="7"/>
  <c r="H63" i="7"/>
  <c r="F63" i="7" s="1"/>
  <c r="L63" i="7" s="1"/>
  <c r="H64" i="7"/>
  <c r="H65" i="7"/>
  <c r="F60" i="7"/>
  <c r="L60" i="7" s="1"/>
  <c r="F62" i="7"/>
  <c r="L62" i="7" s="1"/>
  <c r="F64" i="7"/>
  <c r="F65" i="7"/>
  <c r="L65" i="7" s="1"/>
  <c r="L64" i="7" l="1"/>
  <c r="G245" i="23"/>
  <c r="E245" i="23" s="1"/>
  <c r="G244" i="23"/>
  <c r="E244" i="23" s="1"/>
  <c r="L8" i="29"/>
  <c r="L9" i="29"/>
  <c r="K3" i="29"/>
  <c r="K4" i="29"/>
  <c r="K5" i="29"/>
  <c r="K6" i="29"/>
  <c r="K7" i="29"/>
  <c r="K8" i="29"/>
  <c r="K9" i="29"/>
  <c r="H3" i="29"/>
  <c r="F3" i="29" s="1"/>
  <c r="L3" i="29" s="1"/>
  <c r="H4" i="29"/>
  <c r="H5" i="29"/>
  <c r="H6" i="29"/>
  <c r="F6" i="29" s="1"/>
  <c r="L6" i="29" s="1"/>
  <c r="H7" i="29"/>
  <c r="F7" i="29" s="1"/>
  <c r="L7" i="29" s="1"/>
  <c r="H8" i="29"/>
  <c r="F8" i="29" s="1"/>
  <c r="H9" i="29"/>
  <c r="F4" i="29"/>
  <c r="L4" i="29" s="1"/>
  <c r="F5" i="29"/>
  <c r="L5" i="29" s="1"/>
  <c r="F9" i="29"/>
  <c r="J3" i="29"/>
  <c r="J4" i="29"/>
  <c r="J5" i="29"/>
  <c r="J6" i="29"/>
  <c r="J7" i="29"/>
  <c r="J8" i="29"/>
  <c r="J9" i="29"/>
  <c r="J10" i="29"/>
  <c r="J11" i="29"/>
  <c r="J12" i="29"/>
  <c r="K2" i="29"/>
  <c r="H2" i="29"/>
  <c r="F2" i="29"/>
  <c r="L2" i="29" s="1"/>
  <c r="M14" i="29"/>
  <c r="E20" i="1" s="1"/>
  <c r="G14" i="29"/>
  <c r="H14" i="29" l="1"/>
  <c r="C20" i="1" s="1"/>
  <c r="K14" i="29"/>
  <c r="F14" i="29"/>
  <c r="B20" i="1" s="1"/>
  <c r="L14" i="29"/>
  <c r="D20" i="1" s="1"/>
  <c r="F20" i="1" s="1"/>
  <c r="F243" i="23" l="1"/>
  <c r="E243" i="23" s="1"/>
  <c r="G242" i="23"/>
  <c r="E242" i="23" s="1"/>
  <c r="G15" i="8" l="1"/>
  <c r="G241" i="23" l="1"/>
  <c r="E241" i="23" s="1"/>
  <c r="G240" i="23" l="1"/>
  <c r="E240" i="23" s="1"/>
  <c r="G239" i="23"/>
  <c r="E239" i="23" s="1"/>
  <c r="G238" i="23" l="1"/>
  <c r="E238" i="23" s="1"/>
  <c r="G237" i="23"/>
  <c r="E237" i="23" s="1"/>
  <c r="G236" i="23" l="1"/>
  <c r="E236" i="23" s="1"/>
  <c r="G235" i="23" l="1"/>
  <c r="E235" i="23" s="1"/>
  <c r="G234" i="23"/>
  <c r="E234" i="23" s="1"/>
  <c r="G233" i="23" l="1"/>
  <c r="E233" i="23" s="1"/>
  <c r="G232" i="23"/>
  <c r="E232" i="23" s="1"/>
  <c r="G231" i="23"/>
  <c r="E231" i="23" s="1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G230" i="23" l="1"/>
  <c r="E230" i="23" s="1"/>
  <c r="G229" i="23"/>
  <c r="E229" i="23" s="1"/>
  <c r="G228" i="23"/>
  <c r="E228" i="23" s="1"/>
  <c r="H12" i="3"/>
  <c r="F12" i="3" s="1"/>
  <c r="L12" i="3" s="1"/>
  <c r="H13" i="3"/>
  <c r="H14" i="3"/>
  <c r="H15" i="3"/>
  <c r="F15" i="3" s="1"/>
  <c r="H16" i="3"/>
  <c r="H17" i="3"/>
  <c r="F13" i="3"/>
  <c r="L13" i="3" s="1"/>
  <c r="F16" i="3" l="1"/>
  <c r="L16" i="3" s="1"/>
  <c r="L15" i="3"/>
  <c r="F14" i="3"/>
  <c r="L14" i="3" s="1"/>
  <c r="G227" i="23"/>
  <c r="E227" i="23" s="1"/>
  <c r="J5" i="14"/>
  <c r="G226" i="23" l="1"/>
  <c r="E226" i="23" s="1"/>
  <c r="G225" i="23"/>
  <c r="E225" i="23" s="1"/>
  <c r="G224" i="23" l="1"/>
  <c r="E224" i="23" s="1"/>
  <c r="G223" i="23" l="1"/>
  <c r="E223" i="23" s="1"/>
  <c r="G222" i="23" l="1"/>
  <c r="E222" i="23" s="1"/>
  <c r="J2" i="28"/>
  <c r="M18" i="28"/>
  <c r="E30" i="1" s="1"/>
  <c r="G18" i="28"/>
  <c r="K16" i="28"/>
  <c r="H16" i="28"/>
  <c r="F16" i="28" s="1"/>
  <c r="L16" i="28" s="1"/>
  <c r="K15" i="28"/>
  <c r="H15" i="28"/>
  <c r="F15" i="28" s="1"/>
  <c r="L15" i="28" s="1"/>
  <c r="K14" i="28"/>
  <c r="H14" i="28"/>
  <c r="F14" i="28" s="1"/>
  <c r="L14" i="28" s="1"/>
  <c r="K13" i="28"/>
  <c r="H13" i="28"/>
  <c r="F13" i="28" s="1"/>
  <c r="L13" i="28" s="1"/>
  <c r="K12" i="28"/>
  <c r="H12" i="28"/>
  <c r="F12" i="28" s="1"/>
  <c r="L12" i="28" s="1"/>
  <c r="K11" i="28"/>
  <c r="H11" i="28"/>
  <c r="F11" i="28" s="1"/>
  <c r="L11" i="28" s="1"/>
  <c r="K10" i="28"/>
  <c r="H10" i="28"/>
  <c r="F10" i="28" s="1"/>
  <c r="L10" i="28" s="1"/>
  <c r="F9" i="28"/>
  <c r="L9" i="28" s="1"/>
  <c r="F8" i="28"/>
  <c r="L8" i="28" s="1"/>
  <c r="K2" i="28"/>
  <c r="H2" i="28"/>
  <c r="F2" i="28" s="1"/>
  <c r="L2" i="28" s="1"/>
  <c r="K18" i="28" l="1"/>
  <c r="F18" i="28"/>
  <c r="B30" i="1" s="1"/>
  <c r="H18" i="28"/>
  <c r="C30" i="1" s="1"/>
  <c r="G221" i="23"/>
  <c r="E221" i="23" s="1"/>
  <c r="J8" i="22"/>
  <c r="L18" i="28" l="1"/>
  <c r="D30" i="1" s="1"/>
  <c r="F30" i="1" s="1"/>
  <c r="G220" i="23"/>
  <c r="E220" i="23" s="1"/>
  <c r="J48" i="4"/>
  <c r="G219" i="23"/>
  <c r="E219" i="23" s="1"/>
  <c r="J3" i="10"/>
  <c r="G218" i="23" l="1"/>
  <c r="E218" i="23" s="1"/>
  <c r="G217" i="23" l="1"/>
  <c r="E217" i="23" s="1"/>
  <c r="G216" i="23"/>
  <c r="E216" i="23" s="1"/>
  <c r="G215" i="23"/>
  <c r="E215" i="23" s="1"/>
  <c r="G214" i="23"/>
  <c r="E214" i="23" s="1"/>
  <c r="G213" i="23"/>
  <c r="E213" i="23" s="1"/>
  <c r="G212" i="23"/>
  <c r="E212" i="23" s="1"/>
  <c r="G211" i="23"/>
  <c r="E211" i="23" s="1"/>
  <c r="G210" i="23" l="1"/>
  <c r="E210" i="23" s="1"/>
  <c r="F209" i="23" l="1"/>
  <c r="G56" i="7"/>
  <c r="G209" i="23" l="1"/>
  <c r="E209" i="23" s="1"/>
  <c r="H199" i="23" l="1"/>
  <c r="G199" i="23"/>
  <c r="E199" i="23" s="1"/>
  <c r="G208" i="23"/>
  <c r="E208" i="23" s="1"/>
  <c r="G207" i="23"/>
  <c r="E207" i="23" s="1"/>
  <c r="G206" i="23"/>
  <c r="E206" i="23" s="1"/>
  <c r="G205" i="23"/>
  <c r="E205" i="23" s="1"/>
  <c r="G204" i="23"/>
  <c r="E204" i="23" s="1"/>
  <c r="G203" i="23"/>
  <c r="E203" i="23" s="1"/>
  <c r="G202" i="23"/>
  <c r="E202" i="23" s="1"/>
  <c r="G201" i="23"/>
  <c r="E201" i="23" s="1"/>
  <c r="J47" i="4"/>
  <c r="J46" i="4"/>
  <c r="J45" i="4"/>
  <c r="J44" i="4"/>
  <c r="J43" i="4"/>
  <c r="J42" i="4"/>
  <c r="J41" i="4"/>
  <c r="J40" i="4"/>
  <c r="I199" i="23" l="1"/>
  <c r="G200" i="23"/>
  <c r="E200" i="23" s="1"/>
  <c r="J14" i="11" l="1"/>
  <c r="J13" i="11"/>
  <c r="J12" i="11"/>
  <c r="J11" i="11"/>
  <c r="J9" i="11"/>
  <c r="F198" i="23" l="1"/>
  <c r="G198" i="23" s="1"/>
  <c r="E198" i="23" s="1"/>
  <c r="J9" i="9"/>
  <c r="G9" i="9"/>
  <c r="G8" i="9"/>
  <c r="G197" i="23" l="1"/>
  <c r="E197" i="23" s="1"/>
  <c r="G196" i="23"/>
  <c r="E196" i="23" s="1"/>
  <c r="J39" i="4"/>
  <c r="J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G195" i="23" l="1"/>
  <c r="E195" i="23" s="1"/>
  <c r="G194" i="23"/>
  <c r="E194" i="23" s="1"/>
  <c r="G193" i="23"/>
  <c r="E193" i="23" s="1"/>
  <c r="G192" i="23" l="1"/>
  <c r="E192" i="23" s="1"/>
  <c r="G191" i="23"/>
  <c r="E191" i="23" s="1"/>
  <c r="G190" i="23" l="1"/>
  <c r="E190" i="23" s="1"/>
  <c r="G189" i="23"/>
  <c r="E189" i="23" s="1"/>
  <c r="G188" i="23"/>
  <c r="E188" i="23" s="1"/>
  <c r="J37" i="4"/>
  <c r="J36" i="4"/>
  <c r="J35" i="4"/>
  <c r="G187" i="23" l="1"/>
  <c r="E187" i="23" s="1"/>
  <c r="E33" i="1" l="1"/>
  <c r="G186" i="23" l="1"/>
  <c r="E186" i="23" s="1"/>
  <c r="J4" i="14"/>
  <c r="G185" i="23" l="1"/>
  <c r="E185" i="23" s="1"/>
  <c r="G184" i="23" l="1"/>
  <c r="E184" i="23" s="1"/>
  <c r="G183" i="23"/>
  <c r="E183" i="23" s="1"/>
  <c r="G182" i="23" l="1"/>
  <c r="E182" i="23" s="1"/>
  <c r="J7" i="22"/>
  <c r="G181" i="23" l="1"/>
  <c r="E181" i="23" s="1"/>
  <c r="G180" i="23"/>
  <c r="E180" i="23" s="1"/>
  <c r="G179" i="23"/>
  <c r="E179" i="23" s="1"/>
  <c r="J34" i="4"/>
  <c r="J33" i="4"/>
  <c r="J32" i="4"/>
  <c r="G178" i="23" l="1"/>
  <c r="E178" i="23" s="1"/>
  <c r="K3" i="27"/>
  <c r="K4" i="27"/>
  <c r="K5" i="27"/>
  <c r="K6" i="27"/>
  <c r="K7" i="27"/>
  <c r="K8" i="27"/>
  <c r="K9" i="27"/>
  <c r="K10" i="27"/>
  <c r="K11" i="27"/>
  <c r="K12" i="27"/>
  <c r="K13" i="27"/>
  <c r="F5" i="27"/>
  <c r="L5" i="27" s="1"/>
  <c r="F9" i="27"/>
  <c r="L9" i="27" s="1"/>
  <c r="F12" i="27"/>
  <c r="L12" i="27" s="1"/>
  <c r="F13" i="27"/>
  <c r="L13" i="27" s="1"/>
  <c r="H3" i="27"/>
  <c r="F3" i="27" s="1"/>
  <c r="H4" i="27"/>
  <c r="F4" i="27" s="1"/>
  <c r="L4" i="27" s="1"/>
  <c r="H5" i="27"/>
  <c r="H6" i="27"/>
  <c r="F6" i="27" s="1"/>
  <c r="L6" i="27" s="1"/>
  <c r="H7" i="27"/>
  <c r="F7" i="27" s="1"/>
  <c r="L7" i="27" s="1"/>
  <c r="H8" i="27"/>
  <c r="F8" i="27" s="1"/>
  <c r="L8" i="27" s="1"/>
  <c r="H9" i="27"/>
  <c r="H10" i="27"/>
  <c r="F10" i="27" s="1"/>
  <c r="L10" i="27" s="1"/>
  <c r="H11" i="27"/>
  <c r="F11" i="27" s="1"/>
  <c r="L11" i="27" s="1"/>
  <c r="H12" i="27"/>
  <c r="H13" i="27"/>
  <c r="K2" i="27"/>
  <c r="H2" i="27"/>
  <c r="F2" i="27" s="1"/>
  <c r="L2" i="27" s="1"/>
  <c r="M15" i="27"/>
  <c r="E17" i="1" s="1"/>
  <c r="G15" i="27"/>
  <c r="L3" i="27" l="1"/>
  <c r="K15" i="27"/>
  <c r="F15" i="27"/>
  <c r="B17" i="1" s="1"/>
  <c r="L15" i="27"/>
  <c r="D17" i="1" s="1"/>
  <c r="F17" i="1" s="1"/>
  <c r="H15" i="27"/>
  <c r="C17" i="1" s="1"/>
  <c r="G115" i="23"/>
  <c r="E115" i="23" s="1"/>
  <c r="G177" i="23" l="1"/>
  <c r="E177" i="23" s="1"/>
  <c r="G176" i="23"/>
  <c r="E176" i="23" s="1"/>
  <c r="G175" i="23" l="1"/>
  <c r="E175" i="23" s="1"/>
  <c r="J8" i="11"/>
  <c r="G174" i="23" l="1"/>
  <c r="E174" i="23" s="1"/>
  <c r="J4" i="20"/>
  <c r="J2" i="20"/>
  <c r="G173" i="23" l="1"/>
  <c r="E173" i="23" s="1"/>
  <c r="J4" i="16"/>
  <c r="J5" i="16"/>
  <c r="J6" i="16"/>
  <c r="J7" i="16"/>
  <c r="J8" i="16"/>
  <c r="J9" i="16"/>
  <c r="J10" i="16"/>
  <c r="F172" i="23" l="1"/>
  <c r="G172" i="23" s="1"/>
  <c r="E172" i="23" s="1"/>
  <c r="J6" i="22"/>
  <c r="G6" i="22"/>
  <c r="F171" i="23" l="1"/>
  <c r="G171" i="23" s="1"/>
  <c r="E171" i="23" s="1"/>
  <c r="G20" i="6"/>
  <c r="F170" i="23" l="1"/>
  <c r="G170" i="23" s="1"/>
  <c r="E170" i="23" s="1"/>
  <c r="F169" i="23"/>
  <c r="G169" i="23" s="1"/>
  <c r="E169" i="23" s="1"/>
  <c r="F168" i="23"/>
  <c r="F167" i="23"/>
  <c r="G167" i="23" s="1"/>
  <c r="E167" i="23" s="1"/>
  <c r="F166" i="23"/>
  <c r="G166" i="23" s="1"/>
  <c r="E166" i="23" s="1"/>
  <c r="F165" i="23"/>
  <c r="G165" i="23" s="1"/>
  <c r="E165" i="23" s="1"/>
  <c r="G50" i="7"/>
  <c r="K50" i="7" s="1"/>
  <c r="G49" i="7"/>
  <c r="G48" i="7"/>
  <c r="H48" i="7" s="1"/>
  <c r="G47" i="7"/>
  <c r="G46" i="7"/>
  <c r="G45" i="7"/>
  <c r="J48" i="7"/>
  <c r="J49" i="7"/>
  <c r="J50" i="7"/>
  <c r="J51" i="7"/>
  <c r="J52" i="7"/>
  <c r="J53" i="7"/>
  <c r="J54" i="7"/>
  <c r="J55" i="7"/>
  <c r="J56" i="7"/>
  <c r="J57" i="7"/>
  <c r="J58" i="7"/>
  <c r="J59" i="7"/>
  <c r="K51" i="7"/>
  <c r="K52" i="7"/>
  <c r="K53" i="7"/>
  <c r="K54" i="7"/>
  <c r="K55" i="7"/>
  <c r="K56" i="7"/>
  <c r="K57" i="7"/>
  <c r="K58" i="7"/>
  <c r="K59" i="7"/>
  <c r="H50" i="7"/>
  <c r="F50" i="7" s="1"/>
  <c r="L50" i="7" s="1"/>
  <c r="H51" i="7"/>
  <c r="F51" i="7" s="1"/>
  <c r="L51" i="7" s="1"/>
  <c r="H52" i="7"/>
  <c r="H53" i="7"/>
  <c r="F53" i="7" s="1"/>
  <c r="H54" i="7"/>
  <c r="F54" i="7" s="1"/>
  <c r="L54" i="7" s="1"/>
  <c r="H55" i="7"/>
  <c r="F55" i="7" s="1"/>
  <c r="L55" i="7" s="1"/>
  <c r="H56" i="7"/>
  <c r="H57" i="7"/>
  <c r="F57" i="7" s="1"/>
  <c r="H58" i="7"/>
  <c r="F58" i="7" s="1"/>
  <c r="L58" i="7" s="1"/>
  <c r="H59" i="7"/>
  <c r="F59" i="7" s="1"/>
  <c r="L59" i="7" s="1"/>
  <c r="F52" i="7"/>
  <c r="L52" i="7" s="1"/>
  <c r="F56" i="7"/>
  <c r="L56" i="7" s="1"/>
  <c r="L53" i="7" l="1"/>
  <c r="L57" i="7"/>
  <c r="G168" i="23"/>
  <c r="E168" i="23" s="1"/>
  <c r="K49" i="7"/>
  <c r="H49" i="7"/>
  <c r="F49" i="7" s="1"/>
  <c r="K48" i="7"/>
  <c r="F48" i="7"/>
  <c r="L48" i="7" s="1"/>
  <c r="G164" i="23"/>
  <c r="E164" i="23" s="1"/>
  <c r="F163" i="23"/>
  <c r="G163" i="23" s="1"/>
  <c r="E163" i="23" s="1"/>
  <c r="F162" i="23"/>
  <c r="G162" i="23" s="1"/>
  <c r="E162" i="23" s="1"/>
  <c r="F161" i="23"/>
  <c r="J31" i="4"/>
  <c r="G31" i="4"/>
  <c r="J30" i="4"/>
  <c r="G30" i="4"/>
  <c r="J29" i="4"/>
  <c r="G29" i="4"/>
  <c r="L49" i="7" l="1"/>
  <c r="G161" i="23"/>
  <c r="E161" i="23" s="1"/>
  <c r="F160" i="23" l="1"/>
  <c r="G160" i="23" s="1"/>
  <c r="E160" i="23" s="1"/>
  <c r="G28" i="4"/>
  <c r="F159" i="23" l="1"/>
  <c r="G159" i="23" s="1"/>
  <c r="E159" i="23" s="1"/>
  <c r="J28" i="4"/>
  <c r="J27" i="4"/>
  <c r="G27" i="4"/>
  <c r="J3" i="14" l="1"/>
  <c r="G158" i="23"/>
  <c r="E158" i="23" s="1"/>
  <c r="G157" i="23" l="1"/>
  <c r="E157" i="23" s="1"/>
  <c r="J5" i="21"/>
  <c r="J6" i="21"/>
  <c r="J7" i="21"/>
  <c r="J8" i="21"/>
  <c r="J9" i="21"/>
  <c r="J10" i="21"/>
  <c r="J11" i="21"/>
  <c r="J12" i="21"/>
  <c r="J13" i="21"/>
  <c r="J4" i="21"/>
  <c r="K13" i="21"/>
  <c r="K12" i="21"/>
  <c r="K11" i="21"/>
  <c r="K10" i="21"/>
  <c r="K9" i="21"/>
  <c r="K8" i="21"/>
  <c r="K7" i="21"/>
  <c r="K6" i="21"/>
  <c r="K5" i="21"/>
  <c r="K4" i="21"/>
  <c r="H13" i="21"/>
  <c r="H12" i="21"/>
  <c r="F12" i="21" s="1"/>
  <c r="L12" i="21" s="1"/>
  <c r="H11" i="21"/>
  <c r="F11" i="21" s="1"/>
  <c r="L11" i="21" s="1"/>
  <c r="H10" i="21"/>
  <c r="H9" i="21"/>
  <c r="H8" i="21"/>
  <c r="F8" i="21" s="1"/>
  <c r="L8" i="21" s="1"/>
  <c r="H7" i="21"/>
  <c r="F7" i="21" s="1"/>
  <c r="L7" i="21" s="1"/>
  <c r="H6" i="21"/>
  <c r="F6" i="21" s="1"/>
  <c r="L6" i="21" s="1"/>
  <c r="H5" i="21"/>
  <c r="F5" i="21" s="1"/>
  <c r="H4" i="21"/>
  <c r="F4" i="21" s="1"/>
  <c r="L4" i="21" s="1"/>
  <c r="F13" i="21"/>
  <c r="L13" i="21" s="1"/>
  <c r="F10" i="21"/>
  <c r="L10" i="21" s="1"/>
  <c r="F9" i="21"/>
  <c r="L9" i="21" s="1"/>
  <c r="L5" i="21" l="1"/>
  <c r="G156" i="23"/>
  <c r="E156" i="23" s="1"/>
  <c r="J7" i="11"/>
  <c r="G155" i="23" l="1"/>
  <c r="E155" i="23" s="1"/>
  <c r="J3" i="16"/>
  <c r="G154" i="23" l="1"/>
  <c r="E154" i="23" s="1"/>
  <c r="H4" i="20"/>
  <c r="H5" i="20"/>
  <c r="H6" i="20"/>
  <c r="H7" i="20"/>
  <c r="H8" i="20"/>
  <c r="H9" i="20"/>
  <c r="H10" i="20"/>
  <c r="H11" i="20"/>
  <c r="H12" i="20"/>
  <c r="H13" i="20"/>
  <c r="H3" i="20"/>
  <c r="F153" i="23" l="1"/>
  <c r="G153" i="23" s="1"/>
  <c r="E153" i="23" s="1"/>
  <c r="G26" i="4"/>
  <c r="F152" i="23" l="1"/>
  <c r="G152" i="23" s="1"/>
  <c r="E152" i="23" s="1"/>
  <c r="F151" i="23"/>
  <c r="G151" i="23" s="1"/>
  <c r="E151" i="23" s="1"/>
  <c r="G19" i="6"/>
  <c r="G18" i="6"/>
  <c r="F150" i="23" l="1"/>
  <c r="G150" i="23" s="1"/>
  <c r="E150" i="23" s="1"/>
  <c r="F149" i="23"/>
  <c r="G149" i="23" s="1"/>
  <c r="E149" i="23" s="1"/>
  <c r="F148" i="23"/>
  <c r="G5" i="22"/>
  <c r="K5" i="22" s="1"/>
  <c r="G3" i="22"/>
  <c r="H3" i="22" s="1"/>
  <c r="F3" i="22" s="1"/>
  <c r="K6" i="22"/>
  <c r="K7" i="22"/>
  <c r="K8" i="22"/>
  <c r="K9" i="22"/>
  <c r="K10" i="22"/>
  <c r="K11" i="22"/>
  <c r="H6" i="22"/>
  <c r="F6" i="22" s="1"/>
  <c r="L6" i="22" s="1"/>
  <c r="H7" i="22"/>
  <c r="F7" i="22" s="1"/>
  <c r="H8" i="22"/>
  <c r="F8" i="22" s="1"/>
  <c r="H9" i="22"/>
  <c r="H10" i="22"/>
  <c r="F10" i="22" s="1"/>
  <c r="L10" i="22" s="1"/>
  <c r="H11" i="22"/>
  <c r="F11" i="22" s="1"/>
  <c r="L11" i="22" s="1"/>
  <c r="F9" i="22"/>
  <c r="L9" i="22" s="1"/>
  <c r="G4" i="22"/>
  <c r="H4" i="22" s="1"/>
  <c r="F4" i="22" s="1"/>
  <c r="H5" i="22" l="1"/>
  <c r="F5" i="22" s="1"/>
  <c r="L5" i="22" s="1"/>
  <c r="K4" i="22"/>
  <c r="L4" i="22" s="1"/>
  <c r="K3" i="22"/>
  <c r="L3" i="22" s="1"/>
  <c r="L8" i="22"/>
  <c r="L7" i="22"/>
  <c r="G148" i="23"/>
  <c r="E148" i="23" s="1"/>
  <c r="F147" i="23" l="1"/>
  <c r="G147" i="23" s="1"/>
  <c r="E147" i="23" s="1"/>
  <c r="F146" i="23"/>
  <c r="G146" i="23" s="1"/>
  <c r="E146" i="23" s="1"/>
  <c r="F145" i="23"/>
  <c r="F144" i="23"/>
  <c r="G144" i="23" s="1"/>
  <c r="E144" i="23" s="1"/>
  <c r="G44" i="7"/>
  <c r="G43" i="7"/>
  <c r="G42" i="7"/>
  <c r="G41" i="7"/>
  <c r="G145" i="23" l="1"/>
  <c r="E145" i="23" s="1"/>
  <c r="F143" i="23"/>
  <c r="G143" i="23" s="1"/>
  <c r="E143" i="23" s="1"/>
  <c r="G25" i="4"/>
  <c r="F142" i="23" l="1"/>
  <c r="G142" i="23" s="1"/>
  <c r="E142" i="23" s="1"/>
  <c r="G24" i="4"/>
  <c r="F141" i="23" l="1"/>
  <c r="G141" i="23" s="1"/>
  <c r="E141" i="23" s="1"/>
  <c r="F140" i="23"/>
  <c r="G140" i="23" s="1"/>
  <c r="E140" i="23" s="1"/>
  <c r="G40" i="7"/>
  <c r="G39" i="7"/>
  <c r="F139" i="23" l="1"/>
  <c r="G139" i="23" s="1"/>
  <c r="E139" i="23" s="1"/>
  <c r="F138" i="23"/>
  <c r="G138" i="23" s="1"/>
  <c r="E138" i="23" s="1"/>
  <c r="F137" i="23"/>
  <c r="G23" i="4"/>
  <c r="G22" i="4"/>
  <c r="G21" i="4"/>
  <c r="G137" i="23" l="1"/>
  <c r="E137" i="23" s="1"/>
  <c r="G136" i="23"/>
  <c r="E136" i="23" s="1"/>
  <c r="F135" i="23" l="1"/>
  <c r="G135" i="23" s="1"/>
  <c r="E135" i="23" s="1"/>
  <c r="G20" i="4"/>
  <c r="G134" i="23" l="1"/>
  <c r="E134" i="23" s="1"/>
  <c r="G133" i="23" l="1"/>
  <c r="E133" i="23" s="1"/>
  <c r="J6" i="11"/>
  <c r="M30" i="6" l="1"/>
  <c r="M32" i="6" s="1"/>
  <c r="M4" i="9" l="1"/>
  <c r="M3" i="9"/>
  <c r="G132" i="23" l="1"/>
  <c r="E132" i="23" s="1"/>
  <c r="M23" i="26"/>
  <c r="G23" i="26"/>
  <c r="K21" i="26"/>
  <c r="H21" i="26"/>
  <c r="F21" i="26" s="1"/>
  <c r="L21" i="26" s="1"/>
  <c r="K20" i="26"/>
  <c r="H20" i="26"/>
  <c r="F20" i="26" s="1"/>
  <c r="L20" i="26" s="1"/>
  <c r="K19" i="26"/>
  <c r="H19" i="26"/>
  <c r="F19" i="26" s="1"/>
  <c r="L19" i="26" s="1"/>
  <c r="K18" i="26"/>
  <c r="H18" i="26"/>
  <c r="F18" i="26" s="1"/>
  <c r="L18" i="26" s="1"/>
  <c r="K17" i="26"/>
  <c r="H17" i="26"/>
  <c r="F17" i="26" s="1"/>
  <c r="L17" i="26" s="1"/>
  <c r="K16" i="26"/>
  <c r="H16" i="26"/>
  <c r="F16" i="26" s="1"/>
  <c r="L16" i="26" s="1"/>
  <c r="K15" i="26"/>
  <c r="H15" i="26"/>
  <c r="F15" i="26" s="1"/>
  <c r="L15" i="26" s="1"/>
  <c r="K14" i="26"/>
  <c r="H14" i="26"/>
  <c r="F14" i="26" s="1"/>
  <c r="L14" i="26" s="1"/>
  <c r="K13" i="26"/>
  <c r="H13" i="26"/>
  <c r="F13" i="26" s="1"/>
  <c r="L13" i="26" s="1"/>
  <c r="K12" i="26"/>
  <c r="H12" i="26"/>
  <c r="F12" i="26" s="1"/>
  <c r="L12" i="26" s="1"/>
  <c r="K11" i="26"/>
  <c r="H11" i="26"/>
  <c r="F11" i="26" s="1"/>
  <c r="L11" i="26" s="1"/>
  <c r="K10" i="26"/>
  <c r="H10" i="26"/>
  <c r="F10" i="26" s="1"/>
  <c r="L10" i="26" s="1"/>
  <c r="K9" i="26"/>
  <c r="H9" i="26"/>
  <c r="F9" i="26" s="1"/>
  <c r="L9" i="26" s="1"/>
  <c r="K8" i="26"/>
  <c r="H8" i="26"/>
  <c r="F8" i="26" s="1"/>
  <c r="L8" i="26" s="1"/>
  <c r="K7" i="26"/>
  <c r="H7" i="26"/>
  <c r="F7" i="26" s="1"/>
  <c r="L7" i="26" s="1"/>
  <c r="K6" i="26"/>
  <c r="H6" i="26"/>
  <c r="F6" i="26" s="1"/>
  <c r="L6" i="26" s="1"/>
  <c r="K5" i="26"/>
  <c r="H5" i="26"/>
  <c r="F5" i="26" s="1"/>
  <c r="L5" i="26" s="1"/>
  <c r="K4" i="26"/>
  <c r="H4" i="26"/>
  <c r="F4" i="26" s="1"/>
  <c r="L4" i="26" s="1"/>
  <c r="K2" i="26"/>
  <c r="K23" i="26" s="1"/>
  <c r="H2" i="26"/>
  <c r="F2" i="26" s="1"/>
  <c r="F23" i="26" l="1"/>
  <c r="B33" i="1" s="1"/>
  <c r="L2" i="26"/>
  <c r="L23" i="26" s="1"/>
  <c r="D33" i="1" s="1"/>
  <c r="F33" i="1" s="1"/>
  <c r="H23" i="26"/>
  <c r="C33" i="1" s="1"/>
  <c r="F131" i="23"/>
  <c r="G131" i="23" s="1"/>
  <c r="E131" i="23" s="1"/>
  <c r="G38" i="7"/>
  <c r="G130" i="23" l="1"/>
  <c r="E130" i="23" s="1"/>
  <c r="H4" i="13"/>
  <c r="H5" i="13"/>
  <c r="H6" i="13"/>
  <c r="H7" i="13"/>
  <c r="H8" i="13"/>
  <c r="H9" i="13"/>
  <c r="H10" i="13"/>
  <c r="H11" i="13"/>
  <c r="H12" i="13"/>
  <c r="H13" i="13"/>
  <c r="H3" i="13"/>
  <c r="F129" i="23"/>
  <c r="G129" i="23" s="1"/>
  <c r="E129" i="23" s="1"/>
  <c r="F128" i="23"/>
  <c r="G19" i="4"/>
  <c r="J26" i="4"/>
  <c r="J25" i="4"/>
  <c r="J24" i="4"/>
  <c r="J23" i="4"/>
  <c r="J22" i="4"/>
  <c r="J21" i="4"/>
  <c r="J20" i="4"/>
  <c r="J19" i="4"/>
  <c r="J18" i="4"/>
  <c r="G18" i="4"/>
  <c r="G128" i="23" l="1"/>
  <c r="E128" i="23" s="1"/>
  <c r="G127" i="23"/>
  <c r="E127" i="23" s="1"/>
  <c r="M14" i="25"/>
  <c r="E29" i="1" s="1"/>
  <c r="G14" i="25"/>
  <c r="K10" i="25"/>
  <c r="H10" i="25"/>
  <c r="F10" i="25" s="1"/>
  <c r="K9" i="25"/>
  <c r="H9" i="25"/>
  <c r="F9" i="25" s="1"/>
  <c r="K8" i="25"/>
  <c r="H8" i="25"/>
  <c r="F8" i="25" s="1"/>
  <c r="K7" i="25"/>
  <c r="H7" i="25"/>
  <c r="F7" i="25" s="1"/>
  <c r="K6" i="25"/>
  <c r="H6" i="25"/>
  <c r="F6" i="25" s="1"/>
  <c r="K5" i="25"/>
  <c r="H5" i="25"/>
  <c r="F5" i="25" s="1"/>
  <c r="K4" i="25"/>
  <c r="H4" i="25"/>
  <c r="F4" i="25" s="1"/>
  <c r="K3" i="25"/>
  <c r="H3" i="25"/>
  <c r="F3" i="25" s="1"/>
  <c r="K2" i="25"/>
  <c r="K14" i="25" s="1"/>
  <c r="J2" i="25"/>
  <c r="H2" i="25"/>
  <c r="H14" i="25" s="1"/>
  <c r="C29" i="1" s="1"/>
  <c r="F2" i="25" l="1"/>
  <c r="L3" i="25"/>
  <c r="L5" i="25"/>
  <c r="L7" i="25"/>
  <c r="L9" i="25"/>
  <c r="L4" i="25"/>
  <c r="L6" i="25"/>
  <c r="L8" i="25"/>
  <c r="L10" i="25"/>
  <c r="F14" i="25"/>
  <c r="B29" i="1" s="1"/>
  <c r="L2" i="25"/>
  <c r="L14" i="25" s="1"/>
  <c r="D29" i="1" s="1"/>
  <c r="F29" i="1" s="1"/>
  <c r="G126" i="23" l="1"/>
  <c r="E126" i="23" s="1"/>
  <c r="F94" i="23"/>
  <c r="E94" i="23" s="1"/>
  <c r="F93" i="23"/>
  <c r="E93" i="23" s="1"/>
  <c r="F92" i="23"/>
  <c r="E92" i="23" s="1"/>
  <c r="M14" i="24"/>
  <c r="E28" i="1" s="1"/>
  <c r="G14" i="24"/>
  <c r="K10" i="24"/>
  <c r="L10" i="24" s="1"/>
  <c r="H10" i="24"/>
  <c r="F10" i="24"/>
  <c r="K9" i="24"/>
  <c r="L9" i="24" s="1"/>
  <c r="H9" i="24"/>
  <c r="F9" i="24"/>
  <c r="K8" i="24"/>
  <c r="L8" i="24" s="1"/>
  <c r="H8" i="24"/>
  <c r="F8" i="24"/>
  <c r="K7" i="24"/>
  <c r="L7" i="24" s="1"/>
  <c r="H7" i="24"/>
  <c r="F7" i="24"/>
  <c r="K6" i="24"/>
  <c r="L6" i="24" s="1"/>
  <c r="H6" i="24"/>
  <c r="F6" i="24"/>
  <c r="K5" i="24"/>
  <c r="L5" i="24" s="1"/>
  <c r="H5" i="24"/>
  <c r="F5" i="24"/>
  <c r="K4" i="24"/>
  <c r="H4" i="24"/>
  <c r="F4" i="24" s="1"/>
  <c r="L4" i="24" s="1"/>
  <c r="K3" i="24"/>
  <c r="H3" i="24"/>
  <c r="F3" i="24" s="1"/>
  <c r="L3" i="24" s="1"/>
  <c r="K2" i="24"/>
  <c r="J2" i="24"/>
  <c r="H2" i="24"/>
  <c r="H14" i="24" l="1"/>
  <c r="C28" i="1" s="1"/>
  <c r="K14" i="24"/>
  <c r="F2" i="24"/>
  <c r="L2" i="24" s="1"/>
  <c r="L14" i="24" s="1"/>
  <c r="F14" i="24"/>
  <c r="B28" i="1" s="1"/>
  <c r="N14" i="24" l="1"/>
  <c r="D28" i="1"/>
  <c r="F28" i="1" s="1"/>
  <c r="G125" i="23"/>
  <c r="E125" i="23" s="1"/>
  <c r="G124" i="23" l="1"/>
  <c r="E124" i="23" s="1"/>
  <c r="G13" i="8" l="1"/>
  <c r="G12" i="8"/>
  <c r="G11" i="8"/>
  <c r="G123" i="23" l="1"/>
  <c r="E123" i="23" s="1"/>
  <c r="G122" i="23"/>
  <c r="E122" i="23" s="1"/>
  <c r="G121" i="23" l="1"/>
  <c r="E121" i="23" s="1"/>
  <c r="G120" i="23" l="1"/>
  <c r="E120" i="23" s="1"/>
  <c r="G119" i="23" l="1"/>
  <c r="E119" i="23" s="1"/>
  <c r="J5" i="11"/>
  <c r="M2" i="7"/>
  <c r="E6" i="1" s="1"/>
  <c r="I58" i="1"/>
  <c r="I56" i="1"/>
  <c r="I54" i="1"/>
  <c r="I52" i="1"/>
  <c r="I50" i="1"/>
  <c r="G118" i="23" l="1"/>
  <c r="E118" i="23" s="1"/>
  <c r="H307" i="23"/>
  <c r="I307" i="23" s="1"/>
  <c r="H306" i="23"/>
  <c r="I306" i="23" s="1"/>
  <c r="H258" i="23"/>
  <c r="I258" i="23" s="1"/>
  <c r="H257" i="23"/>
  <c r="I257" i="23" s="1"/>
  <c r="H256" i="23"/>
  <c r="I256" i="23" s="1"/>
  <c r="H255" i="23"/>
  <c r="I255" i="23" s="1"/>
  <c r="H254" i="23"/>
  <c r="I254" i="23" s="1"/>
  <c r="H253" i="23"/>
  <c r="I253" i="23" s="1"/>
  <c r="H252" i="23"/>
  <c r="I252" i="23" s="1"/>
  <c r="H251" i="23"/>
  <c r="I251" i="23" s="1"/>
  <c r="H250" i="23"/>
  <c r="I250" i="23" s="1"/>
  <c r="H249" i="23"/>
  <c r="I249" i="23" s="1"/>
  <c r="H248" i="23"/>
  <c r="I248" i="23" s="1"/>
  <c r="H247" i="23"/>
  <c r="I247" i="23" s="1"/>
  <c r="H246" i="23"/>
  <c r="I246" i="23" s="1"/>
  <c r="H245" i="23"/>
  <c r="I245" i="23" s="1"/>
  <c r="H244" i="23"/>
  <c r="I244" i="23" s="1"/>
  <c r="H243" i="23"/>
  <c r="I243" i="23" s="1"/>
  <c r="H242" i="23"/>
  <c r="I242" i="23" s="1"/>
  <c r="H241" i="23"/>
  <c r="I241" i="23" s="1"/>
  <c r="H240" i="23"/>
  <c r="I240" i="23" s="1"/>
  <c r="H239" i="23"/>
  <c r="I239" i="23" s="1"/>
  <c r="H238" i="23"/>
  <c r="I238" i="23" s="1"/>
  <c r="H237" i="23"/>
  <c r="I237" i="23" s="1"/>
  <c r="H236" i="23"/>
  <c r="I236" i="23" s="1"/>
  <c r="H235" i="23"/>
  <c r="I235" i="23" s="1"/>
  <c r="H234" i="23"/>
  <c r="I234" i="23" s="1"/>
  <c r="H233" i="23"/>
  <c r="I233" i="23" s="1"/>
  <c r="H232" i="23"/>
  <c r="I232" i="23" s="1"/>
  <c r="H231" i="23"/>
  <c r="I231" i="23" s="1"/>
  <c r="H230" i="23"/>
  <c r="I230" i="23" s="1"/>
  <c r="H229" i="23"/>
  <c r="I229" i="23" s="1"/>
  <c r="H228" i="23"/>
  <c r="I228" i="23" s="1"/>
  <c r="H227" i="23"/>
  <c r="I227" i="23" s="1"/>
  <c r="H226" i="23"/>
  <c r="I226" i="23" s="1"/>
  <c r="H225" i="23"/>
  <c r="I225" i="23" s="1"/>
  <c r="H224" i="23"/>
  <c r="I224" i="23" s="1"/>
  <c r="H223" i="23"/>
  <c r="I223" i="23" s="1"/>
  <c r="H222" i="23"/>
  <c r="I222" i="23" s="1"/>
  <c r="H221" i="23"/>
  <c r="I221" i="23" s="1"/>
  <c r="H220" i="23"/>
  <c r="I220" i="23" s="1"/>
  <c r="H219" i="23"/>
  <c r="I219" i="23" s="1"/>
  <c r="H218" i="23"/>
  <c r="I218" i="23" s="1"/>
  <c r="H217" i="23"/>
  <c r="I217" i="23" s="1"/>
  <c r="H216" i="23"/>
  <c r="I216" i="23" s="1"/>
  <c r="H215" i="23"/>
  <c r="I215" i="23" s="1"/>
  <c r="H214" i="23"/>
  <c r="I214" i="23" s="1"/>
  <c r="H213" i="23"/>
  <c r="I213" i="23" s="1"/>
  <c r="H212" i="23"/>
  <c r="I212" i="23" s="1"/>
  <c r="H211" i="23"/>
  <c r="I211" i="23" s="1"/>
  <c r="H210" i="23"/>
  <c r="I210" i="23" s="1"/>
  <c r="H209" i="23"/>
  <c r="I209" i="23" s="1"/>
  <c r="H208" i="23"/>
  <c r="I208" i="23" s="1"/>
  <c r="H207" i="23"/>
  <c r="I207" i="23" s="1"/>
  <c r="H206" i="23"/>
  <c r="I206" i="23" s="1"/>
  <c r="H205" i="23"/>
  <c r="I205" i="23" s="1"/>
  <c r="H204" i="23"/>
  <c r="I204" i="23" s="1"/>
  <c r="H203" i="23"/>
  <c r="I203" i="23" s="1"/>
  <c r="H202" i="23"/>
  <c r="I202" i="23" s="1"/>
  <c r="H201" i="23"/>
  <c r="I201" i="23" s="1"/>
  <c r="H200" i="23"/>
  <c r="I200" i="23" s="1"/>
  <c r="H198" i="23"/>
  <c r="I198" i="23" s="1"/>
  <c r="H197" i="23"/>
  <c r="I197" i="23" s="1"/>
  <c r="H196" i="23"/>
  <c r="I196" i="23" s="1"/>
  <c r="H195" i="23"/>
  <c r="I195" i="23" s="1"/>
  <c r="H194" i="23"/>
  <c r="I194" i="23" s="1"/>
  <c r="H193" i="23"/>
  <c r="I193" i="23" s="1"/>
  <c r="H192" i="23"/>
  <c r="I192" i="23" s="1"/>
  <c r="H191" i="23"/>
  <c r="I191" i="23" s="1"/>
  <c r="H190" i="23"/>
  <c r="I190" i="23" s="1"/>
  <c r="H189" i="23"/>
  <c r="I189" i="23" s="1"/>
  <c r="H188" i="23"/>
  <c r="I188" i="23" s="1"/>
  <c r="H187" i="23"/>
  <c r="I187" i="23" s="1"/>
  <c r="H186" i="23"/>
  <c r="I186" i="23" s="1"/>
  <c r="H185" i="23"/>
  <c r="I185" i="23" s="1"/>
  <c r="H184" i="23"/>
  <c r="I184" i="23" s="1"/>
  <c r="H183" i="23"/>
  <c r="I183" i="23" s="1"/>
  <c r="H182" i="23"/>
  <c r="I182" i="23" s="1"/>
  <c r="H181" i="23"/>
  <c r="I181" i="23" s="1"/>
  <c r="H180" i="23"/>
  <c r="I180" i="23" s="1"/>
  <c r="H179" i="23"/>
  <c r="I179" i="23" s="1"/>
  <c r="H178" i="23"/>
  <c r="I178" i="23" s="1"/>
  <c r="H177" i="23"/>
  <c r="I177" i="23" s="1"/>
  <c r="H176" i="23"/>
  <c r="I176" i="23" s="1"/>
  <c r="H175" i="23"/>
  <c r="I175" i="23" s="1"/>
  <c r="H174" i="23"/>
  <c r="I174" i="23" s="1"/>
  <c r="H173" i="23"/>
  <c r="I173" i="23" s="1"/>
  <c r="H172" i="23"/>
  <c r="I172" i="23" s="1"/>
  <c r="H171" i="23"/>
  <c r="I171" i="23" s="1"/>
  <c r="H170" i="23"/>
  <c r="I170" i="23" s="1"/>
  <c r="H169" i="23"/>
  <c r="I169" i="23" s="1"/>
  <c r="H168" i="23"/>
  <c r="I168" i="23" s="1"/>
  <c r="H167" i="23"/>
  <c r="I167" i="23" s="1"/>
  <c r="H166" i="23"/>
  <c r="I166" i="23" s="1"/>
  <c r="H165" i="23"/>
  <c r="I165" i="23" s="1"/>
  <c r="H164" i="23"/>
  <c r="I164" i="23" s="1"/>
  <c r="H163" i="23"/>
  <c r="I163" i="23" s="1"/>
  <c r="H162" i="23"/>
  <c r="I162" i="23" s="1"/>
  <c r="H161" i="23"/>
  <c r="I161" i="23" s="1"/>
  <c r="H160" i="23"/>
  <c r="I160" i="23" s="1"/>
  <c r="H159" i="23"/>
  <c r="I159" i="23" s="1"/>
  <c r="H158" i="23"/>
  <c r="I158" i="23" s="1"/>
  <c r="H157" i="23"/>
  <c r="I157" i="23" s="1"/>
  <c r="H156" i="23"/>
  <c r="I156" i="23" s="1"/>
  <c r="H155" i="23"/>
  <c r="I155" i="23" s="1"/>
  <c r="H154" i="23"/>
  <c r="I154" i="23" s="1"/>
  <c r="H153" i="23"/>
  <c r="I153" i="23" s="1"/>
  <c r="H152" i="23"/>
  <c r="I152" i="23" s="1"/>
  <c r="H151" i="23"/>
  <c r="I151" i="23" s="1"/>
  <c r="H150" i="23"/>
  <c r="I150" i="23" s="1"/>
  <c r="H149" i="23"/>
  <c r="I149" i="23" s="1"/>
  <c r="H148" i="23"/>
  <c r="I148" i="23" s="1"/>
  <c r="H147" i="23"/>
  <c r="I147" i="23" s="1"/>
  <c r="H146" i="23"/>
  <c r="I146" i="23" s="1"/>
  <c r="H145" i="23"/>
  <c r="I145" i="23" s="1"/>
  <c r="H144" i="23"/>
  <c r="I144" i="23" s="1"/>
  <c r="H143" i="23"/>
  <c r="I143" i="23" s="1"/>
  <c r="H142" i="23"/>
  <c r="I142" i="23" s="1"/>
  <c r="H141" i="23"/>
  <c r="I141" i="23" s="1"/>
  <c r="H140" i="23"/>
  <c r="I140" i="23" s="1"/>
  <c r="H139" i="23"/>
  <c r="I139" i="23" s="1"/>
  <c r="H138" i="23"/>
  <c r="I138" i="23" s="1"/>
  <c r="H137" i="23"/>
  <c r="I137" i="23" s="1"/>
  <c r="H136" i="23"/>
  <c r="I136" i="23" s="1"/>
  <c r="H135" i="23"/>
  <c r="I135" i="23" s="1"/>
  <c r="H134" i="23"/>
  <c r="I134" i="23" s="1"/>
  <c r="H133" i="23"/>
  <c r="I133" i="23" s="1"/>
  <c r="H132" i="23"/>
  <c r="I132" i="23" s="1"/>
  <c r="H131" i="23"/>
  <c r="I131" i="23" s="1"/>
  <c r="H130" i="23"/>
  <c r="I130" i="23" s="1"/>
  <c r="H129" i="23"/>
  <c r="I129" i="23" s="1"/>
  <c r="H128" i="23"/>
  <c r="I128" i="23" s="1"/>
  <c r="H127" i="23"/>
  <c r="I127" i="23" s="1"/>
  <c r="H126" i="23"/>
  <c r="I126" i="23" s="1"/>
  <c r="H125" i="23"/>
  <c r="I125" i="23" s="1"/>
  <c r="H124" i="23"/>
  <c r="I124" i="23" s="1"/>
  <c r="H123" i="23"/>
  <c r="I123" i="23" s="1"/>
  <c r="H122" i="23"/>
  <c r="I122" i="23" s="1"/>
  <c r="H121" i="23"/>
  <c r="I121" i="23" s="1"/>
  <c r="H120" i="23"/>
  <c r="I120" i="23" s="1"/>
  <c r="H119" i="23"/>
  <c r="I119" i="23" s="1"/>
  <c r="H118" i="23"/>
  <c r="I118" i="23" s="1"/>
  <c r="H117" i="23"/>
  <c r="G117" i="23"/>
  <c r="E117" i="23" s="1"/>
  <c r="F116" i="23"/>
  <c r="H115" i="23"/>
  <c r="I115" i="23" s="1"/>
  <c r="F114" i="23"/>
  <c r="H114" i="23" s="1"/>
  <c r="F113" i="23"/>
  <c r="F112" i="23"/>
  <c r="H112" i="23" s="1"/>
  <c r="F111" i="23"/>
  <c r="G110" i="23"/>
  <c r="E110" i="23" s="1"/>
  <c r="F110" i="23"/>
  <c r="H110" i="23" s="1"/>
  <c r="F109" i="23"/>
  <c r="H109" i="23" s="1"/>
  <c r="F108" i="23"/>
  <c r="H108" i="23" s="1"/>
  <c r="F107" i="23"/>
  <c r="G107" i="23" s="1"/>
  <c r="E107" i="23" s="1"/>
  <c r="F106" i="23"/>
  <c r="H106" i="23" s="1"/>
  <c r="F105" i="23"/>
  <c r="H105" i="23" s="1"/>
  <c r="F104" i="23"/>
  <c r="F103" i="23"/>
  <c r="G103" i="23" s="1"/>
  <c r="E103" i="23" s="1"/>
  <c r="F102" i="23"/>
  <c r="G102" i="23" s="1"/>
  <c r="E102" i="23" s="1"/>
  <c r="F101" i="23"/>
  <c r="H101" i="23" s="1"/>
  <c r="F100" i="23"/>
  <c r="F99" i="23"/>
  <c r="G99" i="23" s="1"/>
  <c r="E99" i="23" s="1"/>
  <c r="F98" i="23"/>
  <c r="G98" i="23" s="1"/>
  <c r="E98" i="23" s="1"/>
  <c r="F97" i="23"/>
  <c r="H97" i="23" s="1"/>
  <c r="F96" i="23"/>
  <c r="F95" i="23"/>
  <c r="H95" i="23" s="1"/>
  <c r="I94" i="23"/>
  <c r="I93" i="23"/>
  <c r="I92" i="23"/>
  <c r="H91" i="23"/>
  <c r="G91" i="23"/>
  <c r="E91" i="23" s="1"/>
  <c r="F90" i="23"/>
  <c r="H90" i="23" s="1"/>
  <c r="F89" i="23"/>
  <c r="F88" i="23"/>
  <c r="H88" i="23" s="1"/>
  <c r="F87" i="23"/>
  <c r="G87" i="23" s="1"/>
  <c r="E87" i="23" s="1"/>
  <c r="F86" i="23"/>
  <c r="H86" i="23" s="1"/>
  <c r="H85" i="23"/>
  <c r="G85" i="23"/>
  <c r="E85" i="23" s="1"/>
  <c r="H84" i="23"/>
  <c r="G84" i="23"/>
  <c r="E84" i="23" s="1"/>
  <c r="H83" i="23"/>
  <c r="G83" i="23"/>
  <c r="E83" i="23" s="1"/>
  <c r="H82" i="23"/>
  <c r="G82" i="23"/>
  <c r="E82" i="23" s="1"/>
  <c r="H81" i="23"/>
  <c r="G81" i="23"/>
  <c r="E81" i="23" s="1"/>
  <c r="F80" i="23"/>
  <c r="F79" i="23"/>
  <c r="G79" i="23" s="1"/>
  <c r="E79" i="23" s="1"/>
  <c r="F78" i="23"/>
  <c r="G78" i="23" s="1"/>
  <c r="E78" i="23" s="1"/>
  <c r="F77" i="23"/>
  <c r="H77" i="23" s="1"/>
  <c r="H76" i="23"/>
  <c r="G76" i="23"/>
  <c r="E76" i="23" s="1"/>
  <c r="H75" i="23"/>
  <c r="G75" i="23"/>
  <c r="E75" i="23" s="1"/>
  <c r="H74" i="23"/>
  <c r="G74" i="23"/>
  <c r="E74" i="23" s="1"/>
  <c r="F73" i="23"/>
  <c r="F72" i="23"/>
  <c r="H72" i="23" s="1"/>
  <c r="F71" i="23"/>
  <c r="G71" i="23" s="1"/>
  <c r="E71" i="23" s="1"/>
  <c r="F70" i="23"/>
  <c r="H70" i="23" s="1"/>
  <c r="F69" i="23"/>
  <c r="F68" i="23"/>
  <c r="H68" i="23" s="1"/>
  <c r="H67" i="23"/>
  <c r="G67" i="23"/>
  <c r="E67" i="23" s="1"/>
  <c r="H66" i="23"/>
  <c r="G66" i="23"/>
  <c r="H65" i="23"/>
  <c r="G65" i="23"/>
  <c r="E65" i="23" s="1"/>
  <c r="F64" i="23"/>
  <c r="G64" i="23" s="1"/>
  <c r="E64" i="23" s="1"/>
  <c r="F63" i="23"/>
  <c r="H63" i="23" s="1"/>
  <c r="F62" i="23"/>
  <c r="F61" i="23"/>
  <c r="H61" i="23" s="1"/>
  <c r="F60" i="23"/>
  <c r="G60" i="23" s="1"/>
  <c r="E60" i="23" s="1"/>
  <c r="H59" i="23"/>
  <c r="G59" i="23"/>
  <c r="E59" i="23" s="1"/>
  <c r="H58" i="23"/>
  <c r="G58" i="23"/>
  <c r="E58" i="23" s="1"/>
  <c r="H57" i="23"/>
  <c r="G57" i="23"/>
  <c r="E57" i="23" s="1"/>
  <c r="H56" i="23"/>
  <c r="G56" i="23"/>
  <c r="E56" i="23" s="1"/>
  <c r="H55" i="23"/>
  <c r="G55" i="23"/>
  <c r="E55" i="23" s="1"/>
  <c r="H54" i="23"/>
  <c r="G54" i="23"/>
  <c r="E54" i="23" s="1"/>
  <c r="H53" i="23"/>
  <c r="G53" i="23"/>
  <c r="E53" i="23" s="1"/>
  <c r="H52" i="23"/>
  <c r="G52" i="23"/>
  <c r="E52" i="23" s="1"/>
  <c r="H51" i="23"/>
  <c r="G51" i="23"/>
  <c r="E51" i="23" s="1"/>
  <c r="H50" i="23"/>
  <c r="G50" i="23"/>
  <c r="E50" i="23" s="1"/>
  <c r="H49" i="23"/>
  <c r="G49" i="23"/>
  <c r="E49" i="23" s="1"/>
  <c r="H48" i="23"/>
  <c r="G48" i="23"/>
  <c r="E48" i="23" s="1"/>
  <c r="H47" i="23"/>
  <c r="G47" i="23"/>
  <c r="E47" i="23" s="1"/>
  <c r="H46" i="23"/>
  <c r="G46" i="23"/>
  <c r="E46" i="23" s="1"/>
  <c r="H45" i="23"/>
  <c r="G45" i="23"/>
  <c r="E45" i="23" s="1"/>
  <c r="H42" i="23"/>
  <c r="G42" i="23"/>
  <c r="E42" i="23" s="1"/>
  <c r="H41" i="23"/>
  <c r="G41" i="23"/>
  <c r="E41" i="23" s="1"/>
  <c r="H40" i="23"/>
  <c r="G40" i="23"/>
  <c r="E40" i="23" s="1"/>
  <c r="H39" i="23"/>
  <c r="G39" i="23"/>
  <c r="E39" i="23" s="1"/>
  <c r="H38" i="23"/>
  <c r="G38" i="23"/>
  <c r="E38" i="23" s="1"/>
  <c r="H37" i="23"/>
  <c r="G37" i="23"/>
  <c r="E37" i="23" s="1"/>
  <c r="H36" i="23"/>
  <c r="G36" i="23"/>
  <c r="E36" i="23" s="1"/>
  <c r="H35" i="23"/>
  <c r="G35" i="23"/>
  <c r="E35" i="23" s="1"/>
  <c r="H34" i="23"/>
  <c r="G34" i="23"/>
  <c r="E34" i="23" s="1"/>
  <c r="H33" i="23"/>
  <c r="G33" i="23"/>
  <c r="E33" i="23" s="1"/>
  <c r="H32" i="23"/>
  <c r="G32" i="23"/>
  <c r="E32" i="23" s="1"/>
  <c r="H31" i="23"/>
  <c r="G31" i="23"/>
  <c r="E31" i="23" s="1"/>
  <c r="H30" i="23"/>
  <c r="G30" i="23"/>
  <c r="E30" i="23" s="1"/>
  <c r="H29" i="23"/>
  <c r="G29" i="23"/>
  <c r="E29" i="23" s="1"/>
  <c r="H28" i="23"/>
  <c r="G28" i="23"/>
  <c r="E28" i="23" s="1"/>
  <c r="H27" i="23"/>
  <c r="G27" i="23"/>
  <c r="E27" i="23" s="1"/>
  <c r="H26" i="23"/>
  <c r="G26" i="23"/>
  <c r="E26" i="23" s="1"/>
  <c r="H25" i="23"/>
  <c r="G25" i="23"/>
  <c r="E25" i="23" s="1"/>
  <c r="H24" i="23"/>
  <c r="G24" i="23"/>
  <c r="E24" i="23" s="1"/>
  <c r="H23" i="23"/>
  <c r="G23" i="23"/>
  <c r="E23" i="23" s="1"/>
  <c r="H22" i="23"/>
  <c r="G22" i="23"/>
  <c r="E22" i="23" s="1"/>
  <c r="H21" i="23"/>
  <c r="G21" i="23"/>
  <c r="E21" i="23" s="1"/>
  <c r="F20" i="23"/>
  <c r="H20" i="23" s="1"/>
  <c r="F19" i="23"/>
  <c r="H18" i="23"/>
  <c r="G18" i="23"/>
  <c r="E18" i="23" s="1"/>
  <c r="F17" i="23"/>
  <c r="G17" i="23" s="1"/>
  <c r="E17" i="23" s="1"/>
  <c r="F16" i="23"/>
  <c r="G16" i="23" s="1"/>
  <c r="E16" i="23" s="1"/>
  <c r="F15" i="23"/>
  <c r="H15" i="23" s="1"/>
  <c r="F14" i="23"/>
  <c r="F13" i="23"/>
  <c r="H13" i="23" s="1"/>
  <c r="F12" i="23"/>
  <c r="G12" i="23" s="1"/>
  <c r="E12" i="23" s="1"/>
  <c r="F11" i="23"/>
  <c r="H11" i="23" s="1"/>
  <c r="F10" i="23"/>
  <c r="F9" i="23"/>
  <c r="H9" i="23" s="1"/>
  <c r="F8" i="23"/>
  <c r="H7" i="23"/>
  <c r="G7" i="23"/>
  <c r="E7" i="23" s="1"/>
  <c r="H6" i="23"/>
  <c r="G6" i="23"/>
  <c r="E6" i="23" s="1"/>
  <c r="H5" i="23"/>
  <c r="G5" i="23"/>
  <c r="E5" i="23" s="1"/>
  <c r="H4" i="23"/>
  <c r="G4" i="23"/>
  <c r="E4" i="23" s="1"/>
  <c r="M14" i="14"/>
  <c r="E19" i="1" s="1"/>
  <c r="G14" i="14"/>
  <c r="K10" i="14"/>
  <c r="H10" i="14"/>
  <c r="F10" i="14" s="1"/>
  <c r="L10" i="14" s="1"/>
  <c r="K9" i="14"/>
  <c r="H9" i="14"/>
  <c r="F9" i="14" s="1"/>
  <c r="L9" i="14" s="1"/>
  <c r="K8" i="14"/>
  <c r="H8" i="14"/>
  <c r="F8" i="14" s="1"/>
  <c r="L8" i="14" s="1"/>
  <c r="K7" i="14"/>
  <c r="H7" i="14"/>
  <c r="F7" i="14" s="1"/>
  <c r="K6" i="14"/>
  <c r="H6" i="14"/>
  <c r="F6" i="14"/>
  <c r="L6" i="14" s="1"/>
  <c r="K5" i="14"/>
  <c r="H5" i="14"/>
  <c r="F5" i="14"/>
  <c r="L5" i="14" s="1"/>
  <c r="K4" i="14"/>
  <c r="H4" i="14"/>
  <c r="F4" i="14" s="1"/>
  <c r="K3" i="14"/>
  <c r="H3" i="14"/>
  <c r="F3" i="14"/>
  <c r="L3" i="14" s="1"/>
  <c r="K2" i="14"/>
  <c r="H2" i="14"/>
  <c r="F2" i="14"/>
  <c r="L2" i="14" s="1"/>
  <c r="E34" i="1"/>
  <c r="E36" i="1"/>
  <c r="K2" i="19"/>
  <c r="H2" i="19"/>
  <c r="F2" i="19"/>
  <c r="L2" i="19" s="1"/>
  <c r="M21" i="21"/>
  <c r="P19" i="21"/>
  <c r="M15" i="21"/>
  <c r="E18" i="1" s="1"/>
  <c r="K3" i="21"/>
  <c r="J3" i="21"/>
  <c r="G3" i="21"/>
  <c r="H3" i="21" s="1"/>
  <c r="F3" i="21" s="1"/>
  <c r="J2" i="21"/>
  <c r="G2" i="21"/>
  <c r="K2" i="21" s="1"/>
  <c r="K15" i="21" s="1"/>
  <c r="M17" i="22"/>
  <c r="E14" i="1" s="1"/>
  <c r="J2" i="22"/>
  <c r="G2" i="22"/>
  <c r="K2" i="22" s="1"/>
  <c r="K17" i="22" s="1"/>
  <c r="M14" i="16"/>
  <c r="E12" i="1" s="1"/>
  <c r="G14" i="16"/>
  <c r="K10" i="16"/>
  <c r="H10" i="16"/>
  <c r="F10" i="16"/>
  <c r="L10" i="16" s="1"/>
  <c r="K9" i="16"/>
  <c r="H9" i="16"/>
  <c r="F9" i="16"/>
  <c r="K8" i="16"/>
  <c r="H8" i="16"/>
  <c r="F8" i="16" s="1"/>
  <c r="L8" i="16" s="1"/>
  <c r="K7" i="16"/>
  <c r="H7" i="16"/>
  <c r="F7" i="16"/>
  <c r="L7" i="16" s="1"/>
  <c r="K6" i="16"/>
  <c r="H6" i="16"/>
  <c r="F6" i="16" s="1"/>
  <c r="L6" i="16" s="1"/>
  <c r="K5" i="16"/>
  <c r="H5" i="16"/>
  <c r="F5" i="16" s="1"/>
  <c r="L5" i="16" s="1"/>
  <c r="K4" i="16"/>
  <c r="H4" i="16"/>
  <c r="F4" i="16" s="1"/>
  <c r="L4" i="16" s="1"/>
  <c r="K3" i="16"/>
  <c r="H3" i="16"/>
  <c r="F3" i="16" s="1"/>
  <c r="L3" i="16" s="1"/>
  <c r="K2" i="16"/>
  <c r="J2" i="16"/>
  <c r="H2" i="16"/>
  <c r="F2" i="16" s="1"/>
  <c r="L22" i="17"/>
  <c r="M16" i="17"/>
  <c r="L16" i="17"/>
  <c r="D34" i="1" s="1"/>
  <c r="K16" i="17"/>
  <c r="H16" i="17"/>
  <c r="C34" i="1" s="1"/>
  <c r="G16" i="17"/>
  <c r="F16" i="17"/>
  <c r="B34" i="1" s="1"/>
  <c r="M16" i="18"/>
  <c r="L16" i="18"/>
  <c r="K16" i="18"/>
  <c r="H16" i="18"/>
  <c r="G16" i="18"/>
  <c r="F16" i="18"/>
  <c r="M15" i="20"/>
  <c r="E23" i="1" s="1"/>
  <c r="G15" i="20"/>
  <c r="K13" i="20"/>
  <c r="F13" i="20"/>
  <c r="K12" i="20"/>
  <c r="F12" i="20"/>
  <c r="L12" i="20" s="1"/>
  <c r="K11" i="20"/>
  <c r="F11" i="20"/>
  <c r="K10" i="20"/>
  <c r="F10" i="20"/>
  <c r="L10" i="20" s="1"/>
  <c r="K9" i="20"/>
  <c r="F9" i="20"/>
  <c r="K8" i="20"/>
  <c r="F8" i="20"/>
  <c r="L8" i="20" s="1"/>
  <c r="K7" i="20"/>
  <c r="F7" i="20"/>
  <c r="K6" i="20"/>
  <c r="F6" i="20"/>
  <c r="L6" i="20" s="1"/>
  <c r="K5" i="20"/>
  <c r="F5" i="20"/>
  <c r="K4" i="20"/>
  <c r="F4" i="20"/>
  <c r="L4" i="20" s="1"/>
  <c r="K3" i="20"/>
  <c r="F3" i="20"/>
  <c r="K2" i="20"/>
  <c r="H2" i="20"/>
  <c r="F2" i="20"/>
  <c r="O19" i="15"/>
  <c r="M16" i="15"/>
  <c r="E31" i="1" s="1"/>
  <c r="G16" i="15"/>
  <c r="K14" i="15"/>
  <c r="H14" i="15"/>
  <c r="F14" i="15" s="1"/>
  <c r="L14" i="15" s="1"/>
  <c r="K13" i="15"/>
  <c r="H13" i="15"/>
  <c r="F13" i="15" s="1"/>
  <c r="L13" i="15" s="1"/>
  <c r="K12" i="15"/>
  <c r="H12" i="15"/>
  <c r="F12" i="15"/>
  <c r="L12" i="15" s="1"/>
  <c r="K11" i="15"/>
  <c r="H11" i="15"/>
  <c r="F11" i="15"/>
  <c r="L11" i="15" s="1"/>
  <c r="K10" i="15"/>
  <c r="H10" i="15"/>
  <c r="F10" i="15" s="1"/>
  <c r="L10" i="15" s="1"/>
  <c r="K9" i="15"/>
  <c r="H9" i="15"/>
  <c r="F9" i="15" s="1"/>
  <c r="L9" i="15" s="1"/>
  <c r="K8" i="15"/>
  <c r="H8" i="15"/>
  <c r="F8" i="15"/>
  <c r="L8" i="15" s="1"/>
  <c r="K7" i="15"/>
  <c r="H7" i="15"/>
  <c r="F7" i="15"/>
  <c r="L7" i="15" s="1"/>
  <c r="K6" i="15"/>
  <c r="H6" i="15"/>
  <c r="F6" i="15" s="1"/>
  <c r="L6" i="15" s="1"/>
  <c r="K5" i="15"/>
  <c r="H5" i="15"/>
  <c r="F5" i="15" s="1"/>
  <c r="L5" i="15" s="1"/>
  <c r="K4" i="15"/>
  <c r="H4" i="15"/>
  <c r="F4" i="15"/>
  <c r="L4" i="15" s="1"/>
  <c r="K3" i="15"/>
  <c r="H3" i="15"/>
  <c r="F3" i="15"/>
  <c r="L3" i="15" s="1"/>
  <c r="P20" i="15" s="1"/>
  <c r="K2" i="15"/>
  <c r="K16" i="15" s="1"/>
  <c r="H2" i="15"/>
  <c r="F2" i="15" s="1"/>
  <c r="L2" i="15" s="1"/>
  <c r="M15" i="13"/>
  <c r="G15" i="13"/>
  <c r="K13" i="13"/>
  <c r="F13" i="13"/>
  <c r="K12" i="13"/>
  <c r="F12" i="13"/>
  <c r="L12" i="13" s="1"/>
  <c r="K11" i="13"/>
  <c r="F11" i="13"/>
  <c r="L11" i="13" s="1"/>
  <c r="K10" i="13"/>
  <c r="F10" i="13"/>
  <c r="L10" i="13" s="1"/>
  <c r="K9" i="13"/>
  <c r="F9" i="13"/>
  <c r="L9" i="13" s="1"/>
  <c r="K8" i="13"/>
  <c r="F8" i="13"/>
  <c r="L8" i="13" s="1"/>
  <c r="K7" i="13"/>
  <c r="F7" i="13"/>
  <c r="L7" i="13" s="1"/>
  <c r="K6" i="13"/>
  <c r="F6" i="13"/>
  <c r="L6" i="13" s="1"/>
  <c r="K5" i="13"/>
  <c r="F5" i="13"/>
  <c r="L5" i="13" s="1"/>
  <c r="K4" i="13"/>
  <c r="F4" i="13"/>
  <c r="L4" i="13" s="1"/>
  <c r="K3" i="13"/>
  <c r="F3" i="13"/>
  <c r="L3" i="13" s="1"/>
  <c r="K2" i="13"/>
  <c r="J2" i="13"/>
  <c r="H2" i="13"/>
  <c r="F2" i="13"/>
  <c r="M16" i="12"/>
  <c r="E11" i="1" s="1"/>
  <c r="G16" i="12"/>
  <c r="K14" i="12"/>
  <c r="H14" i="12"/>
  <c r="F14" i="12" s="1"/>
  <c r="L14" i="12"/>
  <c r="K12" i="12"/>
  <c r="H12" i="12"/>
  <c r="F12" i="12" s="1"/>
  <c r="K11" i="12"/>
  <c r="H11" i="12"/>
  <c r="F11" i="12"/>
  <c r="L11" i="12" s="1"/>
  <c r="K10" i="12"/>
  <c r="H10" i="12"/>
  <c r="F10" i="12" s="1"/>
  <c r="K9" i="12"/>
  <c r="H9" i="12"/>
  <c r="F9" i="12" s="1"/>
  <c r="L9" i="12" s="1"/>
  <c r="K8" i="12"/>
  <c r="H8" i="12"/>
  <c r="F8" i="12"/>
  <c r="L8" i="12" s="1"/>
  <c r="K7" i="12"/>
  <c r="H7" i="12"/>
  <c r="F7" i="12" s="1"/>
  <c r="L7" i="12" s="1"/>
  <c r="K6" i="12"/>
  <c r="H6" i="12"/>
  <c r="F6" i="12" s="1"/>
  <c r="N19" i="12" s="1"/>
  <c r="N20" i="12" s="1"/>
  <c r="K5" i="12"/>
  <c r="H5" i="12"/>
  <c r="F5" i="12"/>
  <c r="L5" i="12" s="1"/>
  <c r="K4" i="12"/>
  <c r="H4" i="12"/>
  <c r="F4" i="12"/>
  <c r="L4" i="12" s="1"/>
  <c r="K3" i="12"/>
  <c r="H3" i="12"/>
  <c r="F3" i="12" s="1"/>
  <c r="L3" i="12" s="1"/>
  <c r="K2" i="12"/>
  <c r="H2" i="12"/>
  <c r="F2" i="12" s="1"/>
  <c r="L2" i="12" s="1"/>
  <c r="M16" i="11"/>
  <c r="E13" i="1" s="1"/>
  <c r="G16" i="11"/>
  <c r="K14" i="11"/>
  <c r="H14" i="11"/>
  <c r="F14" i="11" s="1"/>
  <c r="K13" i="11"/>
  <c r="H13" i="11"/>
  <c r="F13" i="11" s="1"/>
  <c r="L13" i="11" s="1"/>
  <c r="K12" i="11"/>
  <c r="H12" i="11"/>
  <c r="F12" i="11" s="1"/>
  <c r="L12" i="11" s="1"/>
  <c r="K11" i="11"/>
  <c r="H11" i="11"/>
  <c r="F11" i="11" s="1"/>
  <c r="L11" i="11" s="1"/>
  <c r="K10" i="11"/>
  <c r="H10" i="11"/>
  <c r="F10" i="11" s="1"/>
  <c r="L10" i="11" s="1"/>
  <c r="K9" i="11"/>
  <c r="H9" i="11"/>
  <c r="F9" i="11" s="1"/>
  <c r="L9" i="11" s="1"/>
  <c r="K8" i="11"/>
  <c r="H8" i="11"/>
  <c r="F8" i="11" s="1"/>
  <c r="L8" i="11" s="1"/>
  <c r="K7" i="11"/>
  <c r="H7" i="11"/>
  <c r="F7" i="11" s="1"/>
  <c r="L7" i="11" s="1"/>
  <c r="K6" i="11"/>
  <c r="H6" i="11"/>
  <c r="F6" i="11" s="1"/>
  <c r="L6" i="11" s="1"/>
  <c r="K5" i="11"/>
  <c r="H5" i="11"/>
  <c r="F5" i="11"/>
  <c r="L5" i="11" s="1"/>
  <c r="K4" i="11"/>
  <c r="J4" i="11"/>
  <c r="H4" i="11"/>
  <c r="F4" i="11" s="1"/>
  <c r="L4" i="11" s="1"/>
  <c r="K3" i="11"/>
  <c r="J3" i="11"/>
  <c r="H3" i="11"/>
  <c r="F3" i="11"/>
  <c r="K2" i="11"/>
  <c r="J2" i="11"/>
  <c r="H2" i="11"/>
  <c r="F2" i="11" s="1"/>
  <c r="M22" i="10"/>
  <c r="E15" i="1" s="1"/>
  <c r="G22" i="10"/>
  <c r="K20" i="10"/>
  <c r="H20" i="10"/>
  <c r="F20" i="10" s="1"/>
  <c r="L20" i="10" s="1"/>
  <c r="K19" i="10"/>
  <c r="H19" i="10"/>
  <c r="F19" i="10" s="1"/>
  <c r="L19" i="10" s="1"/>
  <c r="K18" i="10"/>
  <c r="H18" i="10"/>
  <c r="F18" i="10" s="1"/>
  <c r="L18" i="10" s="1"/>
  <c r="K17" i="10"/>
  <c r="H17" i="10"/>
  <c r="F17" i="10" s="1"/>
  <c r="L17" i="10" s="1"/>
  <c r="K16" i="10"/>
  <c r="H16" i="10"/>
  <c r="F16" i="10" s="1"/>
  <c r="L16" i="10" s="1"/>
  <c r="K15" i="10"/>
  <c r="H15" i="10"/>
  <c r="F15" i="10" s="1"/>
  <c r="L15" i="10" s="1"/>
  <c r="K14" i="10"/>
  <c r="H14" i="10"/>
  <c r="F14" i="10" s="1"/>
  <c r="L14" i="10" s="1"/>
  <c r="K13" i="10"/>
  <c r="H13" i="10"/>
  <c r="F13" i="10" s="1"/>
  <c r="L13" i="10" s="1"/>
  <c r="K12" i="10"/>
  <c r="H12" i="10"/>
  <c r="F12" i="10" s="1"/>
  <c r="L12" i="10" s="1"/>
  <c r="K11" i="10"/>
  <c r="H11" i="10"/>
  <c r="F11" i="10" s="1"/>
  <c r="L11" i="10" s="1"/>
  <c r="K10" i="10"/>
  <c r="H10" i="10"/>
  <c r="F10" i="10" s="1"/>
  <c r="L10" i="10" s="1"/>
  <c r="K9" i="10"/>
  <c r="H9" i="10"/>
  <c r="F9" i="10" s="1"/>
  <c r="L9" i="10" s="1"/>
  <c r="K8" i="10"/>
  <c r="H8" i="10"/>
  <c r="F8" i="10" s="1"/>
  <c r="L8" i="10" s="1"/>
  <c r="K7" i="10"/>
  <c r="H7" i="10"/>
  <c r="F7" i="10" s="1"/>
  <c r="L7" i="10" s="1"/>
  <c r="K6" i="10"/>
  <c r="H6" i="10"/>
  <c r="F6" i="10" s="1"/>
  <c r="L6" i="10" s="1"/>
  <c r="K5" i="10"/>
  <c r="H5" i="10"/>
  <c r="F5" i="10" s="1"/>
  <c r="L5" i="10" s="1"/>
  <c r="K4" i="10"/>
  <c r="H4" i="10"/>
  <c r="F4" i="10" s="1"/>
  <c r="L4" i="10" s="1"/>
  <c r="K3" i="10"/>
  <c r="H3" i="10"/>
  <c r="F3" i="10" s="1"/>
  <c r="L3" i="10" s="1"/>
  <c r="K2" i="10"/>
  <c r="H2" i="10"/>
  <c r="F2" i="10" s="1"/>
  <c r="K21" i="9"/>
  <c r="H21" i="9"/>
  <c r="F21" i="9" s="1"/>
  <c r="L21" i="9" s="1"/>
  <c r="K20" i="9"/>
  <c r="H20" i="9"/>
  <c r="F20" i="9"/>
  <c r="L20" i="9" s="1"/>
  <c r="K19" i="9"/>
  <c r="H19" i="9"/>
  <c r="F19" i="9"/>
  <c r="L19" i="9" s="1"/>
  <c r="K18" i="9"/>
  <c r="H18" i="9"/>
  <c r="F18" i="9"/>
  <c r="K17" i="9"/>
  <c r="H17" i="9"/>
  <c r="F17" i="9" s="1"/>
  <c r="L17" i="9" s="1"/>
  <c r="K16" i="9"/>
  <c r="H16" i="9"/>
  <c r="F16" i="9"/>
  <c r="L16" i="9" s="1"/>
  <c r="K15" i="9"/>
  <c r="H15" i="9"/>
  <c r="F15" i="9"/>
  <c r="L15" i="9" s="1"/>
  <c r="K14" i="9"/>
  <c r="H14" i="9"/>
  <c r="F14" i="9"/>
  <c r="K13" i="9"/>
  <c r="H13" i="9"/>
  <c r="F13" i="9" s="1"/>
  <c r="L13" i="9" s="1"/>
  <c r="K12" i="9"/>
  <c r="H12" i="9"/>
  <c r="F12" i="9"/>
  <c r="L12" i="9" s="1"/>
  <c r="K11" i="9"/>
  <c r="H11" i="9"/>
  <c r="F11" i="9"/>
  <c r="L11" i="9" s="1"/>
  <c r="Q10" i="9"/>
  <c r="K10" i="9"/>
  <c r="H10" i="9"/>
  <c r="F10" i="9" s="1"/>
  <c r="L10" i="9" s="1"/>
  <c r="K9" i="9"/>
  <c r="H9" i="9"/>
  <c r="F9" i="9" s="1"/>
  <c r="K8" i="9"/>
  <c r="J8" i="9"/>
  <c r="H8" i="9"/>
  <c r="F8" i="9" s="1"/>
  <c r="L8" i="9" s="1"/>
  <c r="K7" i="9"/>
  <c r="J7" i="9"/>
  <c r="H7" i="9"/>
  <c r="F7" i="9"/>
  <c r="K6" i="9"/>
  <c r="J6" i="9"/>
  <c r="G6" i="9"/>
  <c r="H6" i="9" s="1"/>
  <c r="F6" i="9" s="1"/>
  <c r="L6" i="9" s="1"/>
  <c r="K5" i="9"/>
  <c r="J5" i="9"/>
  <c r="H5" i="9"/>
  <c r="F5" i="9"/>
  <c r="K4" i="9"/>
  <c r="J4" i="9"/>
  <c r="H4" i="9"/>
  <c r="F4" i="9"/>
  <c r="K3" i="9"/>
  <c r="J3" i="9"/>
  <c r="H3" i="9"/>
  <c r="F3" i="9" s="1"/>
  <c r="M2" i="9"/>
  <c r="E9" i="1" s="1"/>
  <c r="G2" i="9"/>
  <c r="F35" i="1"/>
  <c r="M28" i="8"/>
  <c r="E10" i="1" s="1"/>
  <c r="K26" i="8"/>
  <c r="H26" i="8"/>
  <c r="F26" i="8" s="1"/>
  <c r="L26" i="8" s="1"/>
  <c r="K25" i="8"/>
  <c r="H25" i="8"/>
  <c r="F25" i="8" s="1"/>
  <c r="K24" i="8"/>
  <c r="H24" i="8"/>
  <c r="F24" i="8" s="1"/>
  <c r="L24" i="8" s="1"/>
  <c r="K23" i="8"/>
  <c r="H23" i="8"/>
  <c r="F23" i="8" s="1"/>
  <c r="K22" i="8"/>
  <c r="H22" i="8"/>
  <c r="F22" i="8" s="1"/>
  <c r="L22" i="8" s="1"/>
  <c r="K21" i="8"/>
  <c r="H21" i="8"/>
  <c r="F21" i="8" s="1"/>
  <c r="K20" i="8"/>
  <c r="H20" i="8"/>
  <c r="F20" i="8" s="1"/>
  <c r="L20" i="8" s="1"/>
  <c r="K19" i="8"/>
  <c r="H19" i="8"/>
  <c r="F19" i="8" s="1"/>
  <c r="K18" i="8"/>
  <c r="H18" i="8"/>
  <c r="F18" i="8" s="1"/>
  <c r="L18" i="8" s="1"/>
  <c r="K17" i="8"/>
  <c r="H17" i="8"/>
  <c r="F17" i="8" s="1"/>
  <c r="K16" i="8"/>
  <c r="H16" i="8"/>
  <c r="F16" i="8" s="1"/>
  <c r="L16" i="8" s="1"/>
  <c r="F15" i="8"/>
  <c r="L15" i="8" s="1"/>
  <c r="K14" i="8"/>
  <c r="H14" i="8"/>
  <c r="F14" i="8" s="1"/>
  <c r="F13" i="8"/>
  <c r="L13" i="8" s="1"/>
  <c r="F12" i="8"/>
  <c r="L12" i="8" s="1"/>
  <c r="F11" i="8"/>
  <c r="L11" i="8" s="1"/>
  <c r="K10" i="8"/>
  <c r="H10" i="8"/>
  <c r="F10" i="8" s="1"/>
  <c r="L10" i="8" s="1"/>
  <c r="K9" i="8"/>
  <c r="H9" i="8"/>
  <c r="F9" i="8" s="1"/>
  <c r="L34" i="8"/>
  <c r="K34" i="8" s="1"/>
  <c r="K6" i="8"/>
  <c r="H6" i="8"/>
  <c r="F6" i="8" s="1"/>
  <c r="K5" i="8"/>
  <c r="H5" i="8"/>
  <c r="F5" i="8" s="1"/>
  <c r="L5" i="8" s="1"/>
  <c r="K4" i="8"/>
  <c r="H4" i="8"/>
  <c r="F4" i="8"/>
  <c r="K3" i="8"/>
  <c r="H3" i="8"/>
  <c r="F3" i="8" s="1"/>
  <c r="K2" i="8"/>
  <c r="J2" i="8"/>
  <c r="H2" i="8"/>
  <c r="M73" i="7"/>
  <c r="K71" i="7"/>
  <c r="J71" i="7"/>
  <c r="H71" i="7"/>
  <c r="F71" i="7" s="1"/>
  <c r="L71" i="7" s="1"/>
  <c r="K70" i="7"/>
  <c r="J70" i="7"/>
  <c r="H70" i="7"/>
  <c r="F70" i="7"/>
  <c r="K69" i="7"/>
  <c r="J69" i="7"/>
  <c r="H69" i="7"/>
  <c r="F69" i="7" s="1"/>
  <c r="K68" i="7"/>
  <c r="J68" i="7"/>
  <c r="H68" i="7"/>
  <c r="F68" i="7" s="1"/>
  <c r="K67" i="7"/>
  <c r="J67" i="7"/>
  <c r="H67" i="7"/>
  <c r="F67" i="7" s="1"/>
  <c r="L67" i="7" s="1"/>
  <c r="J66" i="7"/>
  <c r="H66" i="7"/>
  <c r="F66" i="7"/>
  <c r="L66" i="7" s="1"/>
  <c r="K47" i="7"/>
  <c r="J47" i="7"/>
  <c r="H47" i="7"/>
  <c r="F47" i="7" s="1"/>
  <c r="K46" i="7"/>
  <c r="J46" i="7"/>
  <c r="H46" i="7"/>
  <c r="F46" i="7" s="1"/>
  <c r="K45" i="7"/>
  <c r="J45" i="7"/>
  <c r="H45" i="7"/>
  <c r="F45" i="7" s="1"/>
  <c r="L45" i="7" s="1"/>
  <c r="K44" i="7"/>
  <c r="J44" i="7"/>
  <c r="H44" i="7"/>
  <c r="F44" i="7" s="1"/>
  <c r="L44" i="7" s="1"/>
  <c r="K43" i="7"/>
  <c r="J43" i="7"/>
  <c r="H43" i="7"/>
  <c r="F43" i="7" s="1"/>
  <c r="K42" i="7"/>
  <c r="J42" i="7"/>
  <c r="H42" i="7"/>
  <c r="F42" i="7" s="1"/>
  <c r="K41" i="7"/>
  <c r="J41" i="7"/>
  <c r="H41" i="7"/>
  <c r="F41" i="7" s="1"/>
  <c r="L41" i="7" s="1"/>
  <c r="K40" i="7"/>
  <c r="J40" i="7"/>
  <c r="H40" i="7"/>
  <c r="F40" i="7" s="1"/>
  <c r="L40" i="7" s="1"/>
  <c r="K39" i="7"/>
  <c r="J39" i="7"/>
  <c r="H39" i="7"/>
  <c r="F39" i="7" s="1"/>
  <c r="K38" i="7"/>
  <c r="J38" i="7"/>
  <c r="H38" i="7"/>
  <c r="F38" i="7"/>
  <c r="K37" i="7"/>
  <c r="J37" i="7"/>
  <c r="H37" i="7"/>
  <c r="J36" i="7"/>
  <c r="G36" i="7"/>
  <c r="K36" i="7" s="1"/>
  <c r="J35" i="7"/>
  <c r="G35" i="7"/>
  <c r="K35" i="7" s="1"/>
  <c r="J34" i="7"/>
  <c r="H34" i="7"/>
  <c r="G34" i="7"/>
  <c r="K34" i="7" s="1"/>
  <c r="J33" i="7"/>
  <c r="G33" i="7"/>
  <c r="K33" i="7" s="1"/>
  <c r="J32" i="7"/>
  <c r="G32" i="7"/>
  <c r="K32" i="7" s="1"/>
  <c r="J31" i="7"/>
  <c r="G31" i="7"/>
  <c r="K31" i="7" s="1"/>
  <c r="J30" i="7"/>
  <c r="G30" i="7"/>
  <c r="K30" i="7" s="1"/>
  <c r="J29" i="7"/>
  <c r="G29" i="7"/>
  <c r="K29" i="7" s="1"/>
  <c r="J28" i="7"/>
  <c r="G28" i="7"/>
  <c r="K28" i="7" s="1"/>
  <c r="J27" i="7"/>
  <c r="G27" i="7"/>
  <c r="K27" i="7" s="1"/>
  <c r="J26" i="7"/>
  <c r="H26" i="7"/>
  <c r="G26" i="7"/>
  <c r="K26" i="7" s="1"/>
  <c r="J25" i="7"/>
  <c r="G25" i="7"/>
  <c r="K25" i="7" s="1"/>
  <c r="J24" i="7"/>
  <c r="G24" i="7"/>
  <c r="K24" i="7" s="1"/>
  <c r="J23" i="7"/>
  <c r="G23" i="7"/>
  <c r="K23" i="7" s="1"/>
  <c r="J22" i="7"/>
  <c r="G22" i="7"/>
  <c r="K22" i="7" s="1"/>
  <c r="J21" i="7"/>
  <c r="G21" i="7"/>
  <c r="K21" i="7" s="1"/>
  <c r="J20" i="7"/>
  <c r="G20" i="7"/>
  <c r="K20" i="7" s="1"/>
  <c r="J19" i="7"/>
  <c r="G19" i="7"/>
  <c r="K19" i="7" s="1"/>
  <c r="G18" i="7"/>
  <c r="H18" i="7" s="1"/>
  <c r="G17" i="7"/>
  <c r="K16" i="7"/>
  <c r="J16" i="7"/>
  <c r="H16" i="7"/>
  <c r="F16" i="7"/>
  <c r="K15" i="7"/>
  <c r="J15" i="7"/>
  <c r="H15" i="7"/>
  <c r="F15" i="7" s="1"/>
  <c r="K14" i="7"/>
  <c r="J14" i="7"/>
  <c r="H14" i="7"/>
  <c r="F14" i="7" s="1"/>
  <c r="J13" i="7"/>
  <c r="H13" i="7"/>
  <c r="F13" i="7" s="1"/>
  <c r="G13" i="7"/>
  <c r="K13" i="7" s="1"/>
  <c r="J12" i="7"/>
  <c r="H12" i="7"/>
  <c r="G12" i="7"/>
  <c r="K12" i="7" s="1"/>
  <c r="J11" i="7"/>
  <c r="H11" i="7"/>
  <c r="F11" i="7" s="1"/>
  <c r="G11" i="7"/>
  <c r="K11" i="7" s="1"/>
  <c r="J10" i="7"/>
  <c r="H10" i="7"/>
  <c r="G10" i="7"/>
  <c r="K10" i="7" s="1"/>
  <c r="J9" i="7"/>
  <c r="H9" i="7"/>
  <c r="G9" i="7"/>
  <c r="K9" i="7" s="1"/>
  <c r="J8" i="7"/>
  <c r="H8" i="7"/>
  <c r="G8" i="7"/>
  <c r="K8" i="7" s="1"/>
  <c r="J7" i="7"/>
  <c r="H7" i="7"/>
  <c r="G7" i="7"/>
  <c r="K7" i="7" s="1"/>
  <c r="J6" i="7"/>
  <c r="H6" i="7"/>
  <c r="G6" i="7"/>
  <c r="K6" i="7" s="1"/>
  <c r="J5" i="7"/>
  <c r="H5" i="7"/>
  <c r="G5" i="7"/>
  <c r="K5" i="7" s="1"/>
  <c r="J4" i="7"/>
  <c r="H4" i="7"/>
  <c r="G4" i="7"/>
  <c r="K4" i="7" s="1"/>
  <c r="J3" i="7"/>
  <c r="H3" i="7"/>
  <c r="G3" i="7"/>
  <c r="K3" i="7" s="1"/>
  <c r="N35" i="6"/>
  <c r="M28" i="6"/>
  <c r="E5" i="1" s="1"/>
  <c r="K26" i="6"/>
  <c r="J26" i="6"/>
  <c r="H26" i="6"/>
  <c r="F26" i="6"/>
  <c r="L26" i="6" s="1"/>
  <c r="K25" i="6"/>
  <c r="J25" i="6"/>
  <c r="H25" i="6"/>
  <c r="F25" i="6" s="1"/>
  <c r="L25" i="6" s="1"/>
  <c r="K24" i="6"/>
  <c r="J24" i="6"/>
  <c r="H24" i="6"/>
  <c r="F24" i="6" s="1"/>
  <c r="K23" i="6"/>
  <c r="J23" i="6"/>
  <c r="H23" i="6"/>
  <c r="F23" i="6" s="1"/>
  <c r="K22" i="6"/>
  <c r="J22" i="6"/>
  <c r="H22" i="6"/>
  <c r="F22" i="6" s="1"/>
  <c r="L22" i="6" s="1"/>
  <c r="K21" i="6"/>
  <c r="J21" i="6"/>
  <c r="H21" i="6"/>
  <c r="F21" i="6" s="1"/>
  <c r="L21" i="6" s="1"/>
  <c r="K20" i="6"/>
  <c r="J20" i="6"/>
  <c r="H20" i="6"/>
  <c r="F20" i="6"/>
  <c r="K19" i="6"/>
  <c r="J19" i="6"/>
  <c r="H19" i="6"/>
  <c r="F19" i="6" s="1"/>
  <c r="K18" i="6"/>
  <c r="J18" i="6"/>
  <c r="H18" i="6"/>
  <c r="F18" i="6" s="1"/>
  <c r="J17" i="6"/>
  <c r="H17" i="6"/>
  <c r="F17" i="6" s="1"/>
  <c r="G17" i="6"/>
  <c r="K17" i="6" s="1"/>
  <c r="J16" i="6"/>
  <c r="G16" i="6"/>
  <c r="H16" i="6" s="1"/>
  <c r="F16" i="6" s="1"/>
  <c r="J15" i="6"/>
  <c r="G15" i="6"/>
  <c r="K15" i="6" s="1"/>
  <c r="J14" i="6"/>
  <c r="G14" i="6"/>
  <c r="H14" i="6" s="1"/>
  <c r="F14" i="6" s="1"/>
  <c r="K13" i="6"/>
  <c r="J13" i="6"/>
  <c r="G13" i="6"/>
  <c r="H13" i="6" s="1"/>
  <c r="F13" i="6" s="1"/>
  <c r="L13" i="6" s="1"/>
  <c r="K12" i="6"/>
  <c r="J12" i="6"/>
  <c r="G12" i="6"/>
  <c r="H12" i="6" s="1"/>
  <c r="F12" i="6" s="1"/>
  <c r="K11" i="6"/>
  <c r="J11" i="6"/>
  <c r="G11" i="6"/>
  <c r="H11" i="6" s="1"/>
  <c r="F11" i="6" s="1"/>
  <c r="L11" i="6" s="1"/>
  <c r="K10" i="6"/>
  <c r="J10" i="6"/>
  <c r="G10" i="6"/>
  <c r="H10" i="6" s="1"/>
  <c r="F10" i="6" s="1"/>
  <c r="J9" i="6"/>
  <c r="H9" i="6"/>
  <c r="F9" i="6" s="1"/>
  <c r="G9" i="6"/>
  <c r="K9" i="6" s="1"/>
  <c r="K8" i="6"/>
  <c r="H8" i="6"/>
  <c r="F8" i="6"/>
  <c r="K7" i="6"/>
  <c r="H7" i="6"/>
  <c r="F7" i="6"/>
  <c r="K6" i="6"/>
  <c r="J6" i="6"/>
  <c r="H6" i="6"/>
  <c r="F6" i="6"/>
  <c r="K5" i="6"/>
  <c r="J5" i="6"/>
  <c r="H5" i="6"/>
  <c r="F5" i="6"/>
  <c r="K4" i="6"/>
  <c r="J4" i="6"/>
  <c r="H4" i="6"/>
  <c r="F4" i="6" s="1"/>
  <c r="K3" i="6"/>
  <c r="J3" i="6"/>
  <c r="H3" i="6"/>
  <c r="F3" i="6"/>
  <c r="G2" i="6"/>
  <c r="H2" i="6" s="1"/>
  <c r="M25" i="5"/>
  <c r="M20" i="5"/>
  <c r="E4" i="1" s="1"/>
  <c r="G20" i="5"/>
  <c r="K18" i="5"/>
  <c r="H18" i="5"/>
  <c r="F18" i="5" s="1"/>
  <c r="K17" i="5"/>
  <c r="H17" i="5"/>
  <c r="F17" i="5" s="1"/>
  <c r="L17" i="5" s="1"/>
  <c r="K16" i="5"/>
  <c r="H16" i="5"/>
  <c r="F16" i="5" s="1"/>
  <c r="K15" i="5"/>
  <c r="H15" i="5"/>
  <c r="F15" i="5" s="1"/>
  <c r="L15" i="5" s="1"/>
  <c r="K14" i="5"/>
  <c r="H14" i="5"/>
  <c r="F14" i="5" s="1"/>
  <c r="K13" i="5"/>
  <c r="H13" i="5"/>
  <c r="F13" i="5" s="1"/>
  <c r="L13" i="5" s="1"/>
  <c r="K12" i="5"/>
  <c r="H12" i="5"/>
  <c r="F12" i="5" s="1"/>
  <c r="K11" i="5"/>
  <c r="H11" i="5"/>
  <c r="F11" i="5" s="1"/>
  <c r="L11" i="5" s="1"/>
  <c r="K10" i="5"/>
  <c r="H10" i="5"/>
  <c r="F10" i="5" s="1"/>
  <c r="K9" i="5"/>
  <c r="H9" i="5"/>
  <c r="F9" i="5" s="1"/>
  <c r="K8" i="5"/>
  <c r="H8" i="5"/>
  <c r="F8" i="5" s="1"/>
  <c r="K7" i="5"/>
  <c r="H7" i="5"/>
  <c r="F7" i="5" s="1"/>
  <c r="L7" i="5" s="1"/>
  <c r="K6" i="5"/>
  <c r="H6" i="5"/>
  <c r="F6" i="5" s="1"/>
  <c r="K5" i="5"/>
  <c r="H5" i="5"/>
  <c r="F5" i="5" s="1"/>
  <c r="L5" i="5" s="1"/>
  <c r="K4" i="5"/>
  <c r="H4" i="5"/>
  <c r="F4" i="5" s="1"/>
  <c r="K3" i="5"/>
  <c r="H3" i="5"/>
  <c r="F3" i="5" s="1"/>
  <c r="L3" i="5" s="1"/>
  <c r="K2" i="5"/>
  <c r="H2" i="5"/>
  <c r="F2" i="5" s="1"/>
  <c r="K89" i="4"/>
  <c r="F71" i="4"/>
  <c r="L71" i="4" s="1"/>
  <c r="F70" i="4"/>
  <c r="L70" i="4" s="1"/>
  <c r="F69" i="4"/>
  <c r="L69" i="4" s="1"/>
  <c r="F68" i="4"/>
  <c r="L68" i="4" s="1"/>
  <c r="F67" i="4"/>
  <c r="L67" i="4" s="1"/>
  <c r="F66" i="4"/>
  <c r="L66" i="4" s="1"/>
  <c r="F65" i="4"/>
  <c r="L65" i="4" s="1"/>
  <c r="F64" i="4"/>
  <c r="L64" i="4" s="1"/>
  <c r="F63" i="4"/>
  <c r="L63" i="4" s="1"/>
  <c r="F62" i="4"/>
  <c r="L62" i="4" s="1"/>
  <c r="F61" i="4"/>
  <c r="L61" i="4" s="1"/>
  <c r="F60" i="4"/>
  <c r="L60" i="4" s="1"/>
  <c r="F59" i="4"/>
  <c r="L59" i="4" s="1"/>
  <c r="F58" i="4"/>
  <c r="L58" i="4" s="1"/>
  <c r="F57" i="4"/>
  <c r="L57" i="4" s="1"/>
  <c r="F56" i="4"/>
  <c r="L56" i="4" s="1"/>
  <c r="F55" i="4"/>
  <c r="L55" i="4" s="1"/>
  <c r="F54" i="4"/>
  <c r="L54" i="4" s="1"/>
  <c r="F53" i="4"/>
  <c r="L53" i="4" s="1"/>
  <c r="F52" i="4"/>
  <c r="L52" i="4" s="1"/>
  <c r="F51" i="4"/>
  <c r="L51" i="4" s="1"/>
  <c r="F50" i="4"/>
  <c r="L50" i="4" s="1"/>
  <c r="F49" i="4"/>
  <c r="L49" i="4" s="1"/>
  <c r="F48" i="4"/>
  <c r="L48" i="4" s="1"/>
  <c r="F47" i="4"/>
  <c r="L47" i="4" s="1"/>
  <c r="F46" i="4"/>
  <c r="L46" i="4" s="1"/>
  <c r="F45" i="4"/>
  <c r="L45" i="4" s="1"/>
  <c r="F44" i="4"/>
  <c r="F43" i="4"/>
  <c r="L43" i="4" s="1"/>
  <c r="F42" i="4"/>
  <c r="L42" i="4" s="1"/>
  <c r="F41" i="4"/>
  <c r="L41" i="4" s="1"/>
  <c r="F40" i="4"/>
  <c r="L40" i="4" s="1"/>
  <c r="F39" i="4"/>
  <c r="L39" i="4" s="1"/>
  <c r="K38" i="4"/>
  <c r="H38" i="4"/>
  <c r="F38" i="4" s="1"/>
  <c r="K37" i="4"/>
  <c r="H37" i="4"/>
  <c r="F37" i="4"/>
  <c r="K36" i="4"/>
  <c r="H36" i="4"/>
  <c r="F36" i="4" s="1"/>
  <c r="K35" i="4"/>
  <c r="H35" i="4"/>
  <c r="F35" i="4" s="1"/>
  <c r="L35" i="4" s="1"/>
  <c r="K34" i="4"/>
  <c r="H34" i="4"/>
  <c r="F34" i="4" s="1"/>
  <c r="K33" i="4"/>
  <c r="H33" i="4"/>
  <c r="F33" i="4" s="1"/>
  <c r="K32" i="4"/>
  <c r="H32" i="4"/>
  <c r="F32" i="4"/>
  <c r="K31" i="4"/>
  <c r="H31" i="4"/>
  <c r="F31" i="4" s="1"/>
  <c r="K30" i="4"/>
  <c r="H30" i="4"/>
  <c r="F30" i="4" s="1"/>
  <c r="K29" i="4"/>
  <c r="H29" i="4"/>
  <c r="F29" i="4" s="1"/>
  <c r="K28" i="4"/>
  <c r="H28" i="4"/>
  <c r="F28" i="4" s="1"/>
  <c r="L28" i="4" s="1"/>
  <c r="K27" i="4"/>
  <c r="H27" i="4"/>
  <c r="F27" i="4" s="1"/>
  <c r="K26" i="4"/>
  <c r="H26" i="4"/>
  <c r="F26" i="4" s="1"/>
  <c r="L26" i="4" s="1"/>
  <c r="K25" i="4"/>
  <c r="H25" i="4"/>
  <c r="F25" i="4" s="1"/>
  <c r="K24" i="4"/>
  <c r="H24" i="4"/>
  <c r="F24" i="4" s="1"/>
  <c r="K23" i="4"/>
  <c r="H23" i="4"/>
  <c r="F23" i="4" s="1"/>
  <c r="K22" i="4"/>
  <c r="H22" i="4"/>
  <c r="F22" i="4" s="1"/>
  <c r="K21" i="4"/>
  <c r="H21" i="4"/>
  <c r="F21" i="4" s="1"/>
  <c r="K20" i="4"/>
  <c r="H20" i="4"/>
  <c r="F20" i="4" s="1"/>
  <c r="K19" i="4"/>
  <c r="H19" i="4"/>
  <c r="F19" i="4" s="1"/>
  <c r="K18" i="4"/>
  <c r="H18" i="4"/>
  <c r="F18" i="4" s="1"/>
  <c r="K17" i="4"/>
  <c r="H17" i="4"/>
  <c r="F17" i="4" s="1"/>
  <c r="J16" i="4"/>
  <c r="H16" i="4"/>
  <c r="F16" i="4" s="1"/>
  <c r="G16" i="4"/>
  <c r="K16" i="4" s="1"/>
  <c r="J15" i="4"/>
  <c r="H15" i="4"/>
  <c r="F15" i="4" s="1"/>
  <c r="G15" i="4"/>
  <c r="K15" i="4" s="1"/>
  <c r="J14" i="4"/>
  <c r="H14" i="4"/>
  <c r="F14" i="4" s="1"/>
  <c r="G14" i="4"/>
  <c r="K14" i="4" s="1"/>
  <c r="J13" i="4"/>
  <c r="H13" i="4"/>
  <c r="F13" i="4" s="1"/>
  <c r="G13" i="4"/>
  <c r="K13" i="4" s="1"/>
  <c r="J12" i="4"/>
  <c r="H12" i="4"/>
  <c r="F12" i="4" s="1"/>
  <c r="G12" i="4"/>
  <c r="K12" i="4" s="1"/>
  <c r="J11" i="4"/>
  <c r="H11" i="4"/>
  <c r="F11" i="4" s="1"/>
  <c r="G11" i="4"/>
  <c r="K11" i="4" s="1"/>
  <c r="J10" i="4"/>
  <c r="H10" i="4"/>
  <c r="G10" i="4"/>
  <c r="K10" i="4" s="1"/>
  <c r="K9" i="4"/>
  <c r="J9" i="4"/>
  <c r="H9" i="4"/>
  <c r="F9" i="4" s="1"/>
  <c r="K8" i="4"/>
  <c r="J8" i="4"/>
  <c r="H8" i="4"/>
  <c r="F8" i="4" s="1"/>
  <c r="K7" i="4"/>
  <c r="J7" i="4"/>
  <c r="H7" i="4"/>
  <c r="F7" i="4" s="1"/>
  <c r="L7" i="4" s="1"/>
  <c r="K6" i="4"/>
  <c r="J6" i="4"/>
  <c r="H6" i="4"/>
  <c r="F6" i="4"/>
  <c r="L6" i="4" s="1"/>
  <c r="K5" i="4"/>
  <c r="J5" i="4"/>
  <c r="H5" i="4"/>
  <c r="F5" i="4" s="1"/>
  <c r="L5" i="4" s="1"/>
  <c r="K4" i="4"/>
  <c r="J4" i="4"/>
  <c r="H4" i="4"/>
  <c r="F4" i="4"/>
  <c r="K3" i="4"/>
  <c r="J3" i="4"/>
  <c r="H3" i="4"/>
  <c r="F3" i="4" s="1"/>
  <c r="M2" i="4"/>
  <c r="E3" i="1" s="1"/>
  <c r="G2" i="4"/>
  <c r="M30" i="3"/>
  <c r="M23" i="3"/>
  <c r="G23" i="3"/>
  <c r="H21" i="3"/>
  <c r="H20" i="3"/>
  <c r="H19" i="3"/>
  <c r="H18" i="3"/>
  <c r="H11" i="3"/>
  <c r="H10" i="3"/>
  <c r="F10" i="3" s="1"/>
  <c r="H9" i="3"/>
  <c r="H8" i="3"/>
  <c r="H7" i="3"/>
  <c r="H6" i="3"/>
  <c r="H5" i="3"/>
  <c r="F5" i="3"/>
  <c r="L5" i="3" s="1"/>
  <c r="H4" i="3"/>
  <c r="H3" i="3"/>
  <c r="F3" i="3"/>
  <c r="H2" i="3"/>
  <c r="F2" i="3" s="1"/>
  <c r="L2" i="3" s="1"/>
  <c r="K30" i="2"/>
  <c r="H30" i="2"/>
  <c r="F30" i="2"/>
  <c r="K29" i="2"/>
  <c r="H29" i="2"/>
  <c r="F29" i="2" s="1"/>
  <c r="K28" i="2"/>
  <c r="H28" i="2"/>
  <c r="F28" i="2" s="1"/>
  <c r="K27" i="2"/>
  <c r="H27" i="2"/>
  <c r="F27" i="2" s="1"/>
  <c r="K26" i="2"/>
  <c r="H26" i="2"/>
  <c r="F26" i="2" s="1"/>
  <c r="K25" i="2"/>
  <c r="H25" i="2"/>
  <c r="F25" i="2" s="1"/>
  <c r="K24" i="2"/>
  <c r="H24" i="2"/>
  <c r="F24" i="2" s="1"/>
  <c r="K23" i="2"/>
  <c r="H23" i="2"/>
  <c r="F23" i="2" s="1"/>
  <c r="K22" i="2"/>
  <c r="H22" i="2"/>
  <c r="F22" i="2" s="1"/>
  <c r="K21" i="2"/>
  <c r="H21" i="2"/>
  <c r="F21" i="2" s="1"/>
  <c r="K20" i="2"/>
  <c r="H20" i="2"/>
  <c r="F20" i="2" s="1"/>
  <c r="K19" i="2"/>
  <c r="H19" i="2"/>
  <c r="F19" i="2" s="1"/>
  <c r="K18" i="2"/>
  <c r="H18" i="2"/>
  <c r="F18" i="2"/>
  <c r="K17" i="2"/>
  <c r="H17" i="2"/>
  <c r="F17" i="2" s="1"/>
  <c r="K16" i="2"/>
  <c r="H16" i="2"/>
  <c r="F16" i="2" s="1"/>
  <c r="K15" i="2"/>
  <c r="H15" i="2"/>
  <c r="F15" i="2" s="1"/>
  <c r="K14" i="2"/>
  <c r="H14" i="2"/>
  <c r="F14" i="2"/>
  <c r="K12" i="2"/>
  <c r="H12" i="2"/>
  <c r="F12" i="2" s="1"/>
  <c r="K11" i="2"/>
  <c r="H11" i="2"/>
  <c r="F11" i="2" s="1"/>
  <c r="K10" i="2"/>
  <c r="H10" i="2"/>
  <c r="F10" i="2" s="1"/>
  <c r="K9" i="2"/>
  <c r="H9" i="2"/>
  <c r="F9" i="2" s="1"/>
  <c r="K8" i="2"/>
  <c r="H8" i="2"/>
  <c r="F8" i="2" s="1"/>
  <c r="K7" i="2"/>
  <c r="H7" i="2"/>
  <c r="F7" i="2" s="1"/>
  <c r="K6" i="2"/>
  <c r="H6" i="2"/>
  <c r="F6" i="2" s="1"/>
  <c r="K5" i="2"/>
  <c r="H5" i="2"/>
  <c r="F5" i="2" s="1"/>
  <c r="K4" i="2"/>
  <c r="H4" i="2"/>
  <c r="F4" i="2" s="1"/>
  <c r="K3" i="2"/>
  <c r="H3" i="2"/>
  <c r="F3" i="2" s="1"/>
  <c r="M2" i="2"/>
  <c r="E7" i="1" s="1"/>
  <c r="G2" i="2"/>
  <c r="L11" i="7" l="1"/>
  <c r="L10" i="3"/>
  <c r="J29" i="3"/>
  <c r="L13" i="7"/>
  <c r="L14" i="4"/>
  <c r="K2" i="6"/>
  <c r="L5" i="6"/>
  <c r="K31" i="6" s="1"/>
  <c r="K33" i="6" s="1"/>
  <c r="L6" i="6"/>
  <c r="H15" i="6"/>
  <c r="F15" i="6" s="1"/>
  <c r="L15" i="6" s="1"/>
  <c r="L20" i="6"/>
  <c r="L16" i="7"/>
  <c r="H20" i="7"/>
  <c r="H28" i="7"/>
  <c r="H36" i="7"/>
  <c r="F36" i="7" s="1"/>
  <c r="L36" i="7" s="1"/>
  <c r="L70" i="7"/>
  <c r="L4" i="9"/>
  <c r="L5" i="9"/>
  <c r="L7" i="9"/>
  <c r="L3" i="11"/>
  <c r="L11" i="4"/>
  <c r="L13" i="4"/>
  <c r="L9" i="6"/>
  <c r="F10" i="4"/>
  <c r="L10" i="4" s="1"/>
  <c r="L36" i="4"/>
  <c r="L3" i="6"/>
  <c r="L4" i="6"/>
  <c r="L8" i="6"/>
  <c r="L12" i="6"/>
  <c r="K16" i="6"/>
  <c r="L16" i="6" s="1"/>
  <c r="N32" i="6" s="1"/>
  <c r="N33" i="6" s="1"/>
  <c r="L19" i="6"/>
  <c r="L24" i="6"/>
  <c r="F3" i="7"/>
  <c r="F5" i="7"/>
  <c r="L5" i="7" s="1"/>
  <c r="F7" i="7"/>
  <c r="L7" i="7" s="1"/>
  <c r="F9" i="7"/>
  <c r="L9" i="7" s="1"/>
  <c r="L15" i="7"/>
  <c r="H17" i="7"/>
  <c r="F17" i="7" s="1"/>
  <c r="L17" i="7" s="1"/>
  <c r="H22" i="7"/>
  <c r="H30" i="7"/>
  <c r="L38" i="7"/>
  <c r="L43" i="7"/>
  <c r="L47" i="7"/>
  <c r="L69" i="7"/>
  <c r="L4" i="8"/>
  <c r="F2" i="9"/>
  <c r="L14" i="9"/>
  <c r="L18" i="9"/>
  <c r="L13" i="13"/>
  <c r="L9" i="16"/>
  <c r="L12" i="4"/>
  <c r="L16" i="4"/>
  <c r="L17" i="6"/>
  <c r="F18" i="7"/>
  <c r="L18" i="7" s="1"/>
  <c r="L23" i="4"/>
  <c r="L25" i="4"/>
  <c r="L27" i="4"/>
  <c r="L31" i="4"/>
  <c r="L4" i="5"/>
  <c r="L6" i="5"/>
  <c r="L8" i="5"/>
  <c r="L10" i="5"/>
  <c r="L12" i="5"/>
  <c r="L14" i="5"/>
  <c r="L16" i="5"/>
  <c r="L18" i="5"/>
  <c r="L7" i="6"/>
  <c r="L10" i="6"/>
  <c r="K14" i="6"/>
  <c r="L14" i="6" s="1"/>
  <c r="L18" i="6"/>
  <c r="L23" i="6"/>
  <c r="G73" i="7"/>
  <c r="G2" i="7"/>
  <c r="L14" i="7"/>
  <c r="K17" i="7"/>
  <c r="H24" i="7"/>
  <c r="H32" i="7"/>
  <c r="L42" i="7"/>
  <c r="L46" i="7"/>
  <c r="L68" i="7"/>
  <c r="K22" i="10"/>
  <c r="L14" i="11"/>
  <c r="L12" i="12"/>
  <c r="H16" i="15"/>
  <c r="C31" i="1" s="1"/>
  <c r="L3" i="20"/>
  <c r="L5" i="20"/>
  <c r="L7" i="20"/>
  <c r="L9" i="20"/>
  <c r="L11" i="20"/>
  <c r="L13" i="20"/>
  <c r="L3" i="21"/>
  <c r="N17" i="21" s="1"/>
  <c r="L4" i="14"/>
  <c r="L7" i="14"/>
  <c r="L20" i="2"/>
  <c r="L5" i="2"/>
  <c r="L28" i="2"/>
  <c r="L16" i="2"/>
  <c r="L24" i="2"/>
  <c r="E66" i="23"/>
  <c r="I66" i="23" s="1"/>
  <c r="L3" i="8"/>
  <c r="L19" i="8"/>
  <c r="L21" i="8"/>
  <c r="L23" i="8"/>
  <c r="L25" i="8"/>
  <c r="I85" i="23"/>
  <c r="G86" i="23"/>
  <c r="E86" i="23" s="1"/>
  <c r="I86" i="23" s="1"/>
  <c r="H79" i="23"/>
  <c r="G108" i="23"/>
  <c r="I4" i="23"/>
  <c r="I6" i="23"/>
  <c r="I28" i="23"/>
  <c r="I30" i="23"/>
  <c r="I32" i="23"/>
  <c r="I34" i="23"/>
  <c r="I46" i="23"/>
  <c r="I48" i="23"/>
  <c r="I50" i="23"/>
  <c r="I56" i="23"/>
  <c r="I74" i="23"/>
  <c r="I110" i="23"/>
  <c r="I58" i="23"/>
  <c r="I65" i="23"/>
  <c r="G88" i="23"/>
  <c r="I5" i="23"/>
  <c r="I7" i="23"/>
  <c r="I21" i="23"/>
  <c r="I23" i="23"/>
  <c r="I25" i="23"/>
  <c r="I27" i="23"/>
  <c r="I29" i="23"/>
  <c r="I31" i="23"/>
  <c r="I33" i="23"/>
  <c r="I35" i="23"/>
  <c r="H99" i="23"/>
  <c r="I99" i="23" s="1"/>
  <c r="G63" i="23"/>
  <c r="H98" i="23"/>
  <c r="I98" i="23" s="1"/>
  <c r="H103" i="23"/>
  <c r="I103" i="23" s="1"/>
  <c r="G9" i="23"/>
  <c r="H17" i="23"/>
  <c r="I17" i="23" s="1"/>
  <c r="I54" i="23"/>
  <c r="I67" i="23"/>
  <c r="G68" i="23"/>
  <c r="H78" i="23"/>
  <c r="I84" i="23"/>
  <c r="H87" i="23"/>
  <c r="G114" i="23"/>
  <c r="E114" i="23" s="1"/>
  <c r="I114" i="23" s="1"/>
  <c r="G15" i="23"/>
  <c r="G20" i="23"/>
  <c r="I36" i="23"/>
  <c r="I45" i="23"/>
  <c r="I47" i="23"/>
  <c r="I49" i="23"/>
  <c r="I51" i="23"/>
  <c r="I53" i="23"/>
  <c r="I55" i="23"/>
  <c r="I57" i="23"/>
  <c r="I59" i="23"/>
  <c r="H64" i="23"/>
  <c r="I64" i="23" s="1"/>
  <c r="G112" i="23"/>
  <c r="I38" i="23"/>
  <c r="I40" i="23"/>
  <c r="I42" i="23"/>
  <c r="I75" i="23"/>
  <c r="I81" i="23"/>
  <c r="I22" i="23"/>
  <c r="I24" i="23"/>
  <c r="I26" i="23"/>
  <c r="I37" i="23"/>
  <c r="I39" i="23"/>
  <c r="I41" i="23"/>
  <c r="I52" i="23"/>
  <c r="I79" i="23"/>
  <c r="I83" i="23"/>
  <c r="L6" i="8"/>
  <c r="L9" i="8"/>
  <c r="L14" i="8"/>
  <c r="L17" i="8"/>
  <c r="H28" i="8"/>
  <c r="C10" i="1" s="1"/>
  <c r="L4" i="2"/>
  <c r="L15" i="2"/>
  <c r="L19" i="2"/>
  <c r="L23" i="2"/>
  <c r="L27" i="2"/>
  <c r="L14" i="2"/>
  <c r="L18" i="2"/>
  <c r="L22" i="2"/>
  <c r="L26" i="2"/>
  <c r="L30" i="2"/>
  <c r="L17" i="2"/>
  <c r="L21" i="2"/>
  <c r="L25" i="2"/>
  <c r="L29" i="2"/>
  <c r="L12" i="2"/>
  <c r="L11" i="2"/>
  <c r="L10" i="2"/>
  <c r="L9" i="2"/>
  <c r="L8" i="2"/>
  <c r="L7" i="2"/>
  <c r="F2" i="2"/>
  <c r="B7" i="1" s="1"/>
  <c r="G11" i="23"/>
  <c r="G13" i="23"/>
  <c r="H16" i="23"/>
  <c r="I18" i="23"/>
  <c r="G61" i="23"/>
  <c r="G70" i="23"/>
  <c r="G72" i="23"/>
  <c r="G90" i="23"/>
  <c r="G95" i="23"/>
  <c r="H102" i="23"/>
  <c r="I102" i="23" s="1"/>
  <c r="I76" i="23"/>
  <c r="I82" i="23"/>
  <c r="H12" i="23"/>
  <c r="H60" i="23"/>
  <c r="H71" i="23"/>
  <c r="G77" i="23"/>
  <c r="I91" i="23"/>
  <c r="L6" i="12"/>
  <c r="L10" i="12"/>
  <c r="H14" i="14"/>
  <c r="C19" i="1" s="1"/>
  <c r="K14" i="14"/>
  <c r="K28" i="8"/>
  <c r="E8" i="1"/>
  <c r="I9" i="1" s="1"/>
  <c r="F6" i="3"/>
  <c r="F18" i="3"/>
  <c r="L18" i="3" s="1"/>
  <c r="F20" i="3"/>
  <c r="L20" i="3" s="1"/>
  <c r="L3" i="3"/>
  <c r="F8" i="3"/>
  <c r="F17" i="3"/>
  <c r="L17" i="3" s="1"/>
  <c r="F19" i="3"/>
  <c r="L19" i="3" s="1"/>
  <c r="F21" i="3"/>
  <c r="L21" i="3" s="1"/>
  <c r="H22" i="10"/>
  <c r="C15" i="1" s="1"/>
  <c r="F11" i="3"/>
  <c r="F9" i="3"/>
  <c r="F7" i="3"/>
  <c r="H23" i="3"/>
  <c r="C8" i="1" s="1"/>
  <c r="H2" i="2"/>
  <c r="C7" i="1" s="1"/>
  <c r="K2" i="2"/>
  <c r="J89" i="4"/>
  <c r="L44" i="4"/>
  <c r="K20" i="5"/>
  <c r="L6" i="2"/>
  <c r="K2" i="9"/>
  <c r="L9" i="9"/>
  <c r="L38" i="4"/>
  <c r="L4" i="4"/>
  <c r="L18" i="4"/>
  <c r="L20" i="4"/>
  <c r="L22" i="4"/>
  <c r="L30" i="4"/>
  <c r="L33" i="4"/>
  <c r="L15" i="4"/>
  <c r="L17" i="4"/>
  <c r="L24" i="4"/>
  <c r="L29" i="4"/>
  <c r="L32" i="4"/>
  <c r="L37" i="4"/>
  <c r="L8" i="4"/>
  <c r="L9" i="4"/>
  <c r="L19" i="4"/>
  <c r="L21" i="4"/>
  <c r="L34" i="4"/>
  <c r="H16" i="12"/>
  <c r="C11" i="1" s="1"/>
  <c r="K16" i="11"/>
  <c r="L14" i="14"/>
  <c r="K14" i="16"/>
  <c r="K15" i="20"/>
  <c r="H15" i="20"/>
  <c r="C23" i="1" s="1"/>
  <c r="L39" i="7"/>
  <c r="K2" i="7"/>
  <c r="K2" i="4"/>
  <c r="F16" i="12"/>
  <c r="B11" i="1" s="1"/>
  <c r="K16" i="12"/>
  <c r="K15" i="13"/>
  <c r="H15" i="13"/>
  <c r="C36" i="1" s="1"/>
  <c r="F37" i="7"/>
  <c r="L16" i="12"/>
  <c r="D11" i="1" s="1"/>
  <c r="F11" i="1" s="1"/>
  <c r="F34" i="1"/>
  <c r="G8" i="23"/>
  <c r="E8" i="23" s="1"/>
  <c r="F2" i="23"/>
  <c r="H73" i="23"/>
  <c r="G73" i="23"/>
  <c r="E73" i="23" s="1"/>
  <c r="H89" i="23"/>
  <c r="G89" i="23"/>
  <c r="E89" i="23" s="1"/>
  <c r="H100" i="23"/>
  <c r="G100" i="23"/>
  <c r="E100" i="23" s="1"/>
  <c r="G113" i="23"/>
  <c r="E113" i="23" s="1"/>
  <c r="H113" i="23"/>
  <c r="H14" i="23"/>
  <c r="G14" i="23"/>
  <c r="E14" i="23" s="1"/>
  <c r="H19" i="23"/>
  <c r="G19" i="23"/>
  <c r="E19" i="23" s="1"/>
  <c r="H8" i="23"/>
  <c r="H104" i="23"/>
  <c r="G104" i="23"/>
  <c r="E104" i="23" s="1"/>
  <c r="H10" i="23"/>
  <c r="G10" i="23"/>
  <c r="E10" i="23" s="1"/>
  <c r="H62" i="23"/>
  <c r="G62" i="23"/>
  <c r="E62" i="23" s="1"/>
  <c r="H69" i="23"/>
  <c r="G69" i="23"/>
  <c r="E69" i="23" s="1"/>
  <c r="H80" i="23"/>
  <c r="G80" i="23"/>
  <c r="E80" i="23" s="1"/>
  <c r="H96" i="23"/>
  <c r="G96" i="23"/>
  <c r="E96" i="23" s="1"/>
  <c r="G111" i="23"/>
  <c r="E111" i="23" s="1"/>
  <c r="G116" i="23"/>
  <c r="E116" i="23" s="1"/>
  <c r="G97" i="23"/>
  <c r="G101" i="23"/>
  <c r="G105" i="23"/>
  <c r="H111" i="23"/>
  <c r="H116" i="23"/>
  <c r="G106" i="23"/>
  <c r="H107" i="23"/>
  <c r="I107" i="23" s="1"/>
  <c r="G109" i="23"/>
  <c r="I117" i="23"/>
  <c r="F14" i="14"/>
  <c r="B19" i="1" s="1"/>
  <c r="L2" i="16"/>
  <c r="F14" i="16"/>
  <c r="B12" i="1" s="1"/>
  <c r="F15" i="20"/>
  <c r="B23" i="1" s="1"/>
  <c r="L24" i="17"/>
  <c r="L2" i="20"/>
  <c r="L23" i="17"/>
  <c r="H2" i="22"/>
  <c r="H17" i="22" s="1"/>
  <c r="C14" i="1" s="1"/>
  <c r="H2" i="21"/>
  <c r="H15" i="21" s="1"/>
  <c r="C18" i="1" s="1"/>
  <c r="G15" i="21"/>
  <c r="H14" i="16"/>
  <c r="C12" i="1" s="1"/>
  <c r="G17" i="22"/>
  <c r="F2" i="22"/>
  <c r="P19" i="15"/>
  <c r="L16" i="15"/>
  <c r="D31" i="1" s="1"/>
  <c r="F31" i="1" s="1"/>
  <c r="F16" i="15"/>
  <c r="B31" i="1" s="1"/>
  <c r="F15" i="13"/>
  <c r="B36" i="1" s="1"/>
  <c r="L2" i="13"/>
  <c r="L15" i="13" s="1"/>
  <c r="D36" i="1" s="1"/>
  <c r="F36" i="1" s="1"/>
  <c r="L2" i="11"/>
  <c r="F16" i="11"/>
  <c r="B13" i="1" s="1"/>
  <c r="H16" i="11"/>
  <c r="C13" i="1" s="1"/>
  <c r="F22" i="10"/>
  <c r="B15" i="1" s="1"/>
  <c r="L2" i="10"/>
  <c r="L22" i="10" s="1"/>
  <c r="D15" i="1" s="1"/>
  <c r="F15" i="1" s="1"/>
  <c r="L3" i="9"/>
  <c r="B9" i="1"/>
  <c r="H2" i="9"/>
  <c r="C9" i="1" s="1"/>
  <c r="L33" i="8"/>
  <c r="K33" i="8" s="1"/>
  <c r="M34" i="8"/>
  <c r="G28" i="8"/>
  <c r="L35" i="8"/>
  <c r="K35" i="8" s="1"/>
  <c r="F2" i="8"/>
  <c r="L3" i="7"/>
  <c r="K18" i="7"/>
  <c r="K73" i="7" s="1"/>
  <c r="H19" i="7"/>
  <c r="F20" i="7"/>
  <c r="L20" i="7" s="1"/>
  <c r="H21" i="7"/>
  <c r="F21" i="7" s="1"/>
  <c r="L21" i="7" s="1"/>
  <c r="F22" i="7"/>
  <c r="L22" i="7" s="1"/>
  <c r="H23" i="7"/>
  <c r="F24" i="7"/>
  <c r="L24" i="7" s="1"/>
  <c r="H25" i="7"/>
  <c r="F26" i="7"/>
  <c r="L26" i="7" s="1"/>
  <c r="H27" i="7"/>
  <c r="F28" i="7"/>
  <c r="L28" i="7" s="1"/>
  <c r="H29" i="7"/>
  <c r="F29" i="7" s="1"/>
  <c r="L29" i="7" s="1"/>
  <c r="F30" i="7"/>
  <c r="L30" i="7" s="1"/>
  <c r="H31" i="7"/>
  <c r="F32" i="7"/>
  <c r="L32" i="7" s="1"/>
  <c r="H33" i="7"/>
  <c r="F34" i="7"/>
  <c r="L34" i="7" s="1"/>
  <c r="H35" i="7"/>
  <c r="F4" i="7"/>
  <c r="L4" i="7" s="1"/>
  <c r="F6" i="7"/>
  <c r="L6" i="7" s="1"/>
  <c r="F8" i="7"/>
  <c r="L8" i="7" s="1"/>
  <c r="F10" i="7"/>
  <c r="L10" i="7" s="1"/>
  <c r="F12" i="7"/>
  <c r="L12" i="7" s="1"/>
  <c r="F19" i="7"/>
  <c r="L19" i="7" s="1"/>
  <c r="F23" i="7"/>
  <c r="L23" i="7" s="1"/>
  <c r="F25" i="7"/>
  <c r="L25" i="7" s="1"/>
  <c r="F27" i="7"/>
  <c r="L27" i="7" s="1"/>
  <c r="F31" i="7"/>
  <c r="L31" i="7" s="1"/>
  <c r="F33" i="7"/>
  <c r="L33" i="7" s="1"/>
  <c r="F35" i="7"/>
  <c r="L35" i="7" s="1"/>
  <c r="H28" i="6"/>
  <c r="C5" i="1" s="1"/>
  <c r="F2" i="6"/>
  <c r="G28" i="6"/>
  <c r="M26" i="5"/>
  <c r="L9" i="5"/>
  <c r="M24" i="5" s="1"/>
  <c r="F20" i="5"/>
  <c r="B4" i="1" s="1"/>
  <c r="L2" i="5"/>
  <c r="L20" i="5" s="1"/>
  <c r="D4" i="1" s="1"/>
  <c r="F4" i="1" s="1"/>
  <c r="H20" i="5"/>
  <c r="C4" i="1" s="1"/>
  <c r="F2" i="4"/>
  <c r="B3" i="1" s="1"/>
  <c r="L3" i="4"/>
  <c r="H2" i="4"/>
  <c r="C3" i="1" s="1"/>
  <c r="F4" i="3"/>
  <c r="L3" i="2"/>
  <c r="L2" i="9" l="1"/>
  <c r="D9" i="1" s="1"/>
  <c r="F9" i="1" s="1"/>
  <c r="H2" i="7"/>
  <c r="C6" i="1" s="1"/>
  <c r="L9" i="3"/>
  <c r="J28" i="3"/>
  <c r="L7" i="3"/>
  <c r="J26" i="3"/>
  <c r="H73" i="7"/>
  <c r="L16" i="11"/>
  <c r="D13" i="1" s="1"/>
  <c r="F13" i="1" s="1"/>
  <c r="K28" i="6"/>
  <c r="L11" i="3"/>
  <c r="P24" i="3" s="1"/>
  <c r="J30" i="3"/>
  <c r="L15" i="20"/>
  <c r="D23" i="1" s="1"/>
  <c r="F23" i="1" s="1"/>
  <c r="L14" i="16"/>
  <c r="L8" i="3"/>
  <c r="J27" i="3"/>
  <c r="L6" i="3"/>
  <c r="J25" i="3"/>
  <c r="L2" i="2"/>
  <c r="D7" i="1" s="1"/>
  <c r="F7" i="1" s="1"/>
  <c r="E72" i="23"/>
  <c r="I72" i="23" s="1"/>
  <c r="E20" i="23"/>
  <c r="I20" i="23" s="1"/>
  <c r="E108" i="23"/>
  <c r="I108" i="23" s="1"/>
  <c r="E90" i="23"/>
  <c r="I90" i="23" s="1"/>
  <c r="E106" i="23"/>
  <c r="I106" i="23" s="1"/>
  <c r="E97" i="23"/>
  <c r="I97" i="23" s="1"/>
  <c r="E70" i="23"/>
  <c r="I70" i="23" s="1"/>
  <c r="E13" i="23"/>
  <c r="I13" i="23" s="1"/>
  <c r="E112" i="23"/>
  <c r="I112" i="23" s="1"/>
  <c r="E15" i="23"/>
  <c r="I15" i="23" s="1"/>
  <c r="E63" i="23"/>
  <c r="I63" i="23" s="1"/>
  <c r="E88" i="23"/>
  <c r="I88" i="23" s="1"/>
  <c r="E105" i="23"/>
  <c r="I105" i="23" s="1"/>
  <c r="E77" i="23"/>
  <c r="I77" i="23" s="1"/>
  <c r="E101" i="23"/>
  <c r="I101" i="23" s="1"/>
  <c r="E109" i="23"/>
  <c r="I109" i="23" s="1"/>
  <c r="E95" i="23"/>
  <c r="I95" i="23" s="1"/>
  <c r="E61" i="23"/>
  <c r="I61" i="23" s="1"/>
  <c r="E11" i="23"/>
  <c r="I11" i="23" s="1"/>
  <c r="E68" i="23"/>
  <c r="I68" i="23" s="1"/>
  <c r="E9" i="23"/>
  <c r="I9" i="23" s="1"/>
  <c r="I60" i="23"/>
  <c r="I12" i="23"/>
  <c r="I16" i="23"/>
  <c r="I78" i="23"/>
  <c r="I69" i="23"/>
  <c r="I14" i="23"/>
  <c r="I19" i="23"/>
  <c r="I89" i="23"/>
  <c r="I87" i="23"/>
  <c r="I71" i="23"/>
  <c r="I111" i="23"/>
  <c r="I80" i="23"/>
  <c r="I62" i="23"/>
  <c r="I104" i="23"/>
  <c r="I116" i="23"/>
  <c r="I73" i="23"/>
  <c r="F23" i="3"/>
  <c r="F27" i="3" s="1"/>
  <c r="P25" i="3" s="1"/>
  <c r="L4" i="3"/>
  <c r="N14" i="14"/>
  <c r="D19" i="1"/>
  <c r="F19" i="1" s="1"/>
  <c r="N14" i="16"/>
  <c r="D12" i="1"/>
  <c r="F12" i="1" s="1"/>
  <c r="L37" i="7"/>
  <c r="L2" i="7" s="1"/>
  <c r="D6" i="1" s="1"/>
  <c r="F6" i="1" s="1"/>
  <c r="F2" i="7"/>
  <c r="B6" i="1" s="1"/>
  <c r="I5" i="1"/>
  <c r="I10" i="23"/>
  <c r="I96" i="23"/>
  <c r="I113" i="23"/>
  <c r="I100" i="23"/>
  <c r="I8" i="23"/>
  <c r="G2" i="23"/>
  <c r="H2" i="23"/>
  <c r="L2" i="22"/>
  <c r="L17" i="22" s="1"/>
  <c r="D14" i="1" s="1"/>
  <c r="F14" i="1" s="1"/>
  <c r="F17" i="22"/>
  <c r="B14" i="1" s="1"/>
  <c r="F2" i="21"/>
  <c r="L2" i="8"/>
  <c r="L28" i="8" s="1"/>
  <c r="D10" i="1" s="1"/>
  <c r="F10" i="1" s="1"/>
  <c r="F28" i="8"/>
  <c r="B10" i="1" s="1"/>
  <c r="M33" i="8"/>
  <c r="M35" i="8"/>
  <c r="F73" i="7"/>
  <c r="F28" i="6"/>
  <c r="B5" i="1" s="1"/>
  <c r="L2" i="6"/>
  <c r="L28" i="6" s="1"/>
  <c r="D5" i="1" s="1"/>
  <c r="F5" i="1" s="1"/>
  <c r="L2" i="4"/>
  <c r="D3" i="1" s="1"/>
  <c r="F3" i="1" s="1"/>
  <c r="K23" i="3"/>
  <c r="L23" i="3"/>
  <c r="E2" i="23" l="1"/>
  <c r="B8" i="1"/>
  <c r="M28" i="3"/>
  <c r="D8" i="1"/>
  <c r="F8" i="1" s="1"/>
  <c r="L73" i="7"/>
  <c r="I2" i="23"/>
  <c r="F15" i="21"/>
  <c r="B18" i="1" s="1"/>
  <c r="L2" i="21"/>
  <c r="L15" i="21" s="1"/>
  <c r="D18" i="1" s="1"/>
  <c r="F18" i="1" s="1"/>
  <c r="I3" i="1" l="1"/>
  <c r="I11" i="1"/>
  <c r="I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1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Received Pending amt of 8456 for Inv Nos 033 + 113000 for Inv nos 034. All invoices till 034 CLEARED.</t>
        </r>
      </text>
    </comment>
    <comment ref="M15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79,655 received on 28th June 2017 &amp; 62,371 received on 21st July 2017. Invoice cleared.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1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LPU payment made by error twice, adjusting the amount in Shopclues &amp; Tomorrow Makers. Balance 1808 will be paid later.
1808 INR paid on 30th DEC 2016 Billing Cycle. ALL CLEAR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TDS ISSUE RESOLVED. Received a separate cheque with all the rectifications.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Received 2,89,996 INR on 15th Jun for Tyroo International Invoice Nos - TYROO-00154-July-2016, TYROO-00155-Jan-2017, TYROO-00156-Feb-2017, TYROO-00157-Mar-2017, TYROO-00158-Apr-2017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N3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** TDS NOT DEDUCTED IN ALL THE PAYMENTS **</t>
        </r>
      </text>
    </comment>
  </commentList>
</comments>
</file>

<file path=xl/sharedStrings.xml><?xml version="1.0" encoding="utf-8"?>
<sst xmlns="http://schemas.openxmlformats.org/spreadsheetml/2006/main" count="3871" uniqueCount="882">
  <si>
    <t>Adomantra</t>
  </si>
  <si>
    <t>Digidesk</t>
  </si>
  <si>
    <t>CZ / Fork Media</t>
  </si>
  <si>
    <t>Komli Media</t>
  </si>
  <si>
    <t>D-creative</t>
  </si>
  <si>
    <t>HTTPOOL</t>
  </si>
  <si>
    <t>Icubes</t>
  </si>
  <si>
    <t>AquGen</t>
  </si>
  <si>
    <t>Bizwin</t>
  </si>
  <si>
    <t>SVG+DGM</t>
  </si>
  <si>
    <t>Media-Conv</t>
  </si>
  <si>
    <t>Opicle</t>
  </si>
  <si>
    <t>Vertoz</t>
  </si>
  <si>
    <t>Value First</t>
  </si>
  <si>
    <t>Sense Digital</t>
  </si>
  <si>
    <t>OptiMidea</t>
  </si>
  <si>
    <t>Mobinet</t>
  </si>
  <si>
    <t>Girnarsoft</t>
  </si>
  <si>
    <t>Turnover</t>
  </si>
  <si>
    <t>Service Tax</t>
  </si>
  <si>
    <t>Amt Receivable</t>
  </si>
  <si>
    <t>Amt Received</t>
  </si>
  <si>
    <t>Amt Pending</t>
  </si>
  <si>
    <t>Inv Date</t>
  </si>
  <si>
    <t>RO No</t>
  </si>
  <si>
    <t>Campaigns</t>
  </si>
  <si>
    <t>Adunit</t>
  </si>
  <si>
    <t>Invoice number</t>
  </si>
  <si>
    <t>Final Amount</t>
  </si>
  <si>
    <t>Invoice amt</t>
  </si>
  <si>
    <t>ServiceTax</t>
  </si>
  <si>
    <t>Cam End date</t>
  </si>
  <si>
    <t>Due date</t>
  </si>
  <si>
    <t>Less 2%</t>
  </si>
  <si>
    <t>Amount Received</t>
  </si>
  <si>
    <t>Amt Received Date</t>
  </si>
  <si>
    <t>Status</t>
  </si>
  <si>
    <t>Cheque No</t>
  </si>
  <si>
    <t>HOME</t>
  </si>
  <si>
    <t>Monthwise</t>
  </si>
  <si>
    <t>5th Apr 2016</t>
  </si>
  <si>
    <t>AUDIENCE</t>
  </si>
  <si>
    <t>Komli-00186-Dec-2015</t>
  </si>
  <si>
    <t>9th May 2016</t>
  </si>
  <si>
    <t>CLEAR</t>
  </si>
  <si>
    <t>NEFT Transfer</t>
  </si>
  <si>
    <t>3rd May 2016</t>
  </si>
  <si>
    <t>Komli-00187-Jan-2016</t>
  </si>
  <si>
    <t>30th June 2016</t>
  </si>
  <si>
    <t>Komli-00188-Feb-2016</t>
  </si>
  <si>
    <t>27th Jun 2016</t>
  </si>
  <si>
    <t>Komli-00192-Apr-2016</t>
  </si>
  <si>
    <t>Remarks</t>
  </si>
  <si>
    <t>25th Apr 2016</t>
  </si>
  <si>
    <t>Fork Media-024-Feb-2016</t>
  </si>
  <si>
    <t>23rd Jun 2016</t>
  </si>
  <si>
    <t>Fork Media-025-Mar-2016</t>
  </si>
  <si>
    <t>Fork Media-026-Apr-2016</t>
  </si>
  <si>
    <t>14th Apr 2016</t>
  </si>
  <si>
    <t>Ado/16-008</t>
  </si>
  <si>
    <t>WELSPUN</t>
  </si>
  <si>
    <t>CPM</t>
  </si>
  <si>
    <t>Adomantra-117</t>
  </si>
  <si>
    <t>27th May 2016</t>
  </si>
  <si>
    <t>Ado/16‐023</t>
  </si>
  <si>
    <t>ASIAN PAINTS‐TRAVEL</t>
  </si>
  <si>
    <t>Adomantra-0118</t>
  </si>
  <si>
    <t>Ado/16‐021</t>
  </si>
  <si>
    <t>ASIAN PAINTS –ECOMMERCE</t>
  </si>
  <si>
    <t>Adomantra-0119</t>
  </si>
  <si>
    <t>26th May 2016</t>
  </si>
  <si>
    <t>Ado/16‐029</t>
  </si>
  <si>
    <t>OLA PR</t>
  </si>
  <si>
    <t>Adomantra-0120</t>
  </si>
  <si>
    <t>31st May 2016</t>
  </si>
  <si>
    <t>Ado/16‐030</t>
  </si>
  <si>
    <t>Emirates-Economy-Class</t>
  </si>
  <si>
    <t>Adomantra-0121</t>
  </si>
  <si>
    <t>Ado/16‐031</t>
  </si>
  <si>
    <t>VW TACTICAL</t>
  </si>
  <si>
    <t>CPC</t>
  </si>
  <si>
    <t>Adomantra-0122</t>
  </si>
  <si>
    <t>Ado/16‐027</t>
  </si>
  <si>
    <t>SD-CORPORATION</t>
  </si>
  <si>
    <t>CPL</t>
  </si>
  <si>
    <t>Adomantra-0123</t>
  </si>
  <si>
    <t>30th Jun 2016</t>
  </si>
  <si>
    <t>Ado/16‐059</t>
  </si>
  <si>
    <t>Apcolite</t>
  </si>
  <si>
    <t>Adomantra-0124</t>
  </si>
  <si>
    <t>Adomantra-0125</t>
  </si>
  <si>
    <t>Adomantra-0126</t>
  </si>
  <si>
    <t>8th July 2016</t>
  </si>
  <si>
    <t>Ado/16‐061</t>
  </si>
  <si>
    <t>SONY BRAVIA</t>
  </si>
  <si>
    <t>CPV</t>
  </si>
  <si>
    <t>Adomantra-0127</t>
  </si>
  <si>
    <t>20th Jul 2016</t>
  </si>
  <si>
    <t>Ado/16‐063</t>
  </si>
  <si>
    <t>Asian Paints Royale</t>
  </si>
  <si>
    <t>Adomantra-0128</t>
  </si>
  <si>
    <t>30th July 2016</t>
  </si>
  <si>
    <t>Ado/16‐058</t>
  </si>
  <si>
    <t>Emirates</t>
  </si>
  <si>
    <t>Adomantra-0129</t>
  </si>
  <si>
    <t>29th Jun 2016</t>
  </si>
  <si>
    <t>Ado/16‐054</t>
  </si>
  <si>
    <t>Kotak</t>
  </si>
  <si>
    <t>Adomantra-0130</t>
  </si>
  <si>
    <t>Adomantra-0131</t>
  </si>
  <si>
    <t>Adomantra-0132</t>
  </si>
  <si>
    <t>Adomantra-0133</t>
  </si>
  <si>
    <t>Adomantra-0134</t>
  </si>
  <si>
    <t>Adomantra-0135</t>
  </si>
  <si>
    <t>Adomantra-0136</t>
  </si>
  <si>
    <t>Adomantra-0137</t>
  </si>
  <si>
    <t>Adomantra-0138</t>
  </si>
  <si>
    <t>Adomantra-0139</t>
  </si>
  <si>
    <t>Adomantra-0140</t>
  </si>
  <si>
    <t>12th Apr 2016</t>
  </si>
  <si>
    <t>iCubeswire-015-Jan-2016</t>
  </si>
  <si>
    <t>19th April 2016</t>
  </si>
  <si>
    <t>NEFT-PNB</t>
  </si>
  <si>
    <t>15th Apr 2016</t>
  </si>
  <si>
    <t>Branding</t>
  </si>
  <si>
    <t>iCubeswire-016-Feb-2016</t>
  </si>
  <si>
    <t>20th April 2016</t>
  </si>
  <si>
    <t>iCubeswire-017-Feb-2016</t>
  </si>
  <si>
    <t>7th May 2016</t>
  </si>
  <si>
    <t>iCubeswire-018-Mar-2016</t>
  </si>
  <si>
    <t>21st May 2016</t>
  </si>
  <si>
    <t>iCubeswire-019-Mar-2016</t>
  </si>
  <si>
    <t>15th June 2016</t>
  </si>
  <si>
    <t>iCubeswire-020-Apr-2016</t>
  </si>
  <si>
    <t>23rd June 2016</t>
  </si>
  <si>
    <t>4th Aug 2016</t>
  </si>
  <si>
    <t>iCubeswire-021-May-2016</t>
  </si>
  <si>
    <t>5th Aug 2016</t>
  </si>
  <si>
    <t>1st Apr 2016</t>
  </si>
  <si>
    <t>Cisco</t>
  </si>
  <si>
    <t>MediaConversion-017-Dec-2015</t>
  </si>
  <si>
    <t>30th Apr 2016</t>
  </si>
  <si>
    <t>Tomorrow Makers</t>
  </si>
  <si>
    <t>MediaConversion-018-Apr-2016</t>
  </si>
  <si>
    <t>29th May 2016</t>
  </si>
  <si>
    <t>MediaConversion-019-May-2016</t>
  </si>
  <si>
    <t>Droom</t>
  </si>
  <si>
    <t>MediaConversion-020-May-2016</t>
  </si>
  <si>
    <t>7th Jun 2016</t>
  </si>
  <si>
    <t>Honda</t>
  </si>
  <si>
    <t>MediaConversion-021-May-2016</t>
  </si>
  <si>
    <t>Ford</t>
  </si>
  <si>
    <t>MediaConversion-022-Jan-2016</t>
  </si>
  <si>
    <t>Immediate</t>
  </si>
  <si>
    <t>MediaConversion-023-Feb-2016</t>
  </si>
  <si>
    <t>4th Jul 2016</t>
  </si>
  <si>
    <t>LPU</t>
  </si>
  <si>
    <t>MediaConversion-024-Jun-2016</t>
  </si>
  <si>
    <t>MediaConversion-025-Jun-2016</t>
  </si>
  <si>
    <t>MediaConversion-026-Jun-2016</t>
  </si>
  <si>
    <t>HP-Supplies</t>
  </si>
  <si>
    <t>MediaConversion-027-Jun-2016</t>
  </si>
  <si>
    <t>1st Aug 2016</t>
  </si>
  <si>
    <t>MediaConversion-028-Jul-2016</t>
  </si>
  <si>
    <t>5th Jul 2016</t>
  </si>
  <si>
    <t>Godrej-PR</t>
  </si>
  <si>
    <t>MediaConversion-029-Jul-2016</t>
  </si>
  <si>
    <t>23rd Jul 2016</t>
  </si>
  <si>
    <t>Shopclues</t>
  </si>
  <si>
    <t>MediaConversion-030-Jul-2016</t>
  </si>
  <si>
    <t>Cisco-Video</t>
  </si>
  <si>
    <t>MediaConversion-031-Jul-2016</t>
  </si>
  <si>
    <t>Tomorrow Makers PART II</t>
  </si>
  <si>
    <t>MediaConversion-032-Jun-2016</t>
  </si>
  <si>
    <t>Ipad-Banner</t>
  </si>
  <si>
    <t>Bizwin-016-Jan-2016</t>
  </si>
  <si>
    <t>Lufsthansa CPM</t>
  </si>
  <si>
    <t>Bizwin-017-Feb-2016</t>
  </si>
  <si>
    <t>Microsoft Nasscom</t>
  </si>
  <si>
    <t>Bizwin-018-Feb-2017</t>
  </si>
  <si>
    <t>JCB CPM</t>
  </si>
  <si>
    <t>Bizwin-019-Mar-2016</t>
  </si>
  <si>
    <t>Eureka Channel W</t>
  </si>
  <si>
    <t>Bizwin-020-Mar-2016</t>
  </si>
  <si>
    <t>11th Apr 2016</t>
  </si>
  <si>
    <t xml:space="preserve">Lufthansa TAM II </t>
  </si>
  <si>
    <t>Bizwin-021-Apr-2016</t>
  </si>
  <si>
    <t>Catterpillar</t>
  </si>
  <si>
    <t>Bizwin-022-Apr-2016</t>
  </si>
  <si>
    <t>Google</t>
  </si>
  <si>
    <t>Bizwin-023-Apr-2016</t>
  </si>
  <si>
    <t>7th Apr 2016</t>
  </si>
  <si>
    <t>CISCO FISME</t>
  </si>
  <si>
    <t>Bizwin-024-Apr-2016</t>
  </si>
  <si>
    <t>CISCO KNN</t>
  </si>
  <si>
    <t>Bizwin-025-Apr-2016</t>
  </si>
  <si>
    <t>CISCO-CPM</t>
  </si>
  <si>
    <t>Bizwin-026-Apr-2016</t>
  </si>
  <si>
    <t>Lufthansa</t>
  </si>
  <si>
    <t>Bizwin-027-Apr-2016</t>
  </si>
  <si>
    <t>Google-TI</t>
  </si>
  <si>
    <t>Bizwin-028-Apr-2016</t>
  </si>
  <si>
    <t>22nd May 2016</t>
  </si>
  <si>
    <t>HP</t>
  </si>
  <si>
    <t>Bizwin-029-Apr-May-2016</t>
  </si>
  <si>
    <t>22nd Aug 2016</t>
  </si>
  <si>
    <t>Commvault Nasscom</t>
  </si>
  <si>
    <t>Bizwin-030-May-2016</t>
  </si>
  <si>
    <t>Commvault CII</t>
  </si>
  <si>
    <t>Bizwin-031-May-2016</t>
  </si>
  <si>
    <t>Cisco Fisme</t>
  </si>
  <si>
    <t>Bizwin-032-July-2016</t>
  </si>
  <si>
    <t>Cisco KNN</t>
  </si>
  <si>
    <t>Bizwin-033-July-2016</t>
  </si>
  <si>
    <t>Cisco Nasscom</t>
  </si>
  <si>
    <t>Bizwin-034-July-2016</t>
  </si>
  <si>
    <t>Cisco CII</t>
  </si>
  <si>
    <t>Bizwin-035-July-2016</t>
  </si>
  <si>
    <t>Google TT</t>
  </si>
  <si>
    <t>Bizwin-036-July-2016</t>
  </si>
  <si>
    <t>Google TI</t>
  </si>
  <si>
    <t>Bizwin-037-July-2016</t>
  </si>
  <si>
    <t>HP KNN</t>
  </si>
  <si>
    <t>Bizwin-038-July-2016</t>
  </si>
  <si>
    <t>HP Fisme</t>
  </si>
  <si>
    <t>Bizwin-039-July-2016</t>
  </si>
  <si>
    <t>HP TT</t>
  </si>
  <si>
    <t>Bizwin-040-July-2016</t>
  </si>
  <si>
    <t>Microsoft</t>
  </si>
  <si>
    <t>Bizwin-041-June-2016</t>
  </si>
  <si>
    <t>HP BN KNN</t>
  </si>
  <si>
    <t>Bizwin-042-July-2016</t>
  </si>
  <si>
    <t>HP BN Fisme</t>
  </si>
  <si>
    <t>Bizwin-043-July-2016</t>
  </si>
  <si>
    <t>HP BN TI</t>
  </si>
  <si>
    <t>Bizwin-044-July-2016</t>
  </si>
  <si>
    <t>HP BN TT</t>
  </si>
  <si>
    <t>Bizwin-045-July-2016</t>
  </si>
  <si>
    <t>HP Supplies KNN</t>
  </si>
  <si>
    <t>Bizwin-046-July-2016</t>
  </si>
  <si>
    <t>Caterpillar</t>
  </si>
  <si>
    <t>Bizwin-047-July-2016</t>
  </si>
  <si>
    <t>Bizwin-048-Aug-2016</t>
  </si>
  <si>
    <t>Bizwin-049-Aug-2016</t>
  </si>
  <si>
    <t>Segment</t>
  </si>
  <si>
    <t>1st April 2016</t>
  </si>
  <si>
    <t>DGMATIX</t>
  </si>
  <si>
    <t>DGMatix-021-March-2016</t>
  </si>
  <si>
    <t>13th May 2016</t>
  </si>
  <si>
    <t>Tyroo International</t>
  </si>
  <si>
    <t>TYROO-00149</t>
  </si>
  <si>
    <t>17th May 2016</t>
  </si>
  <si>
    <t>1st May 2016</t>
  </si>
  <si>
    <t>DGMatix-022-April-2016</t>
  </si>
  <si>
    <t>DGM INDIA</t>
  </si>
  <si>
    <t>DGPerform-016-Jan-2016</t>
  </si>
  <si>
    <t>9th June 2016</t>
  </si>
  <si>
    <t>DGPerform-017-Feb-2016</t>
  </si>
  <si>
    <t>DGPerform-018-Mar-2016</t>
  </si>
  <si>
    <t>DGPerform-019-Apr-2016</t>
  </si>
  <si>
    <t>14th Jul 2016</t>
  </si>
  <si>
    <t>DGPerform-020-May-2016</t>
  </si>
  <si>
    <t>27th July 2016</t>
  </si>
  <si>
    <t>8th Aug 2016</t>
  </si>
  <si>
    <t>International</t>
  </si>
  <si>
    <t>TYROO-00150-Mar-2016</t>
  </si>
  <si>
    <t>TYROO-00151-Apr-2016</t>
  </si>
  <si>
    <t>TYROO-00152-May-2016</t>
  </si>
  <si>
    <t>TYROO-00153-June-2016</t>
  </si>
  <si>
    <t>24th May 2016</t>
  </si>
  <si>
    <t>Hotels</t>
  </si>
  <si>
    <t>Dcreative-137-Apr-May-2016</t>
  </si>
  <si>
    <t>Autoportal</t>
  </si>
  <si>
    <t>Dcreative-138-Apr-2016</t>
  </si>
  <si>
    <t>Dcreative-139-May-2016</t>
  </si>
  <si>
    <t>Nokia Lumia 650</t>
  </si>
  <si>
    <t>Dcreative-140-Jun-2016</t>
  </si>
  <si>
    <t>12th July 2016</t>
  </si>
  <si>
    <t>Microsoft CPV</t>
  </si>
  <si>
    <t>Dcreative-141-July-2016</t>
  </si>
  <si>
    <t>BabyChakra</t>
  </si>
  <si>
    <t>Dcreative-142-July-2016</t>
  </si>
  <si>
    <t>1st Jun 2016</t>
  </si>
  <si>
    <t>Vista-Print-CPV</t>
  </si>
  <si>
    <t>Digidesk Media-017-May-2016</t>
  </si>
  <si>
    <t>30th May 2016</t>
  </si>
  <si>
    <t>OpicleTechnologies-002-Mar-2016</t>
  </si>
  <si>
    <t>15th Jun 2016</t>
  </si>
  <si>
    <t>OpicleTechnologies-003-Apr-2016</t>
  </si>
  <si>
    <t>29th July 2016</t>
  </si>
  <si>
    <t>15th Jul 2016</t>
  </si>
  <si>
    <t>OpicleTechnologies-004-May-2016</t>
  </si>
  <si>
    <t>AquGen-010-February-2016</t>
  </si>
  <si>
    <t>14th June 2016</t>
  </si>
  <si>
    <t>AquGen-011-March-2016</t>
  </si>
  <si>
    <t>AquGen-012-April-2016</t>
  </si>
  <si>
    <t>AquGen-013-May-2016</t>
  </si>
  <si>
    <t>AquGen-014-June-2016</t>
  </si>
  <si>
    <t>2nd May 2016</t>
  </si>
  <si>
    <t>Httpool-0001-March-2016</t>
  </si>
  <si>
    <t>18th Jul 2016</t>
  </si>
  <si>
    <t>26th Jun 2015</t>
  </si>
  <si>
    <t>Sense-Digital-003-Mar-2016</t>
  </si>
  <si>
    <t>Sense-Digital-004-April-2016</t>
  </si>
  <si>
    <t>24th Aug 2016</t>
  </si>
  <si>
    <t>Sense-Digital-005-May-2016</t>
  </si>
  <si>
    <t>13th Apr 2016</t>
  </si>
  <si>
    <t>Ad2click -001-Feb-2016</t>
  </si>
  <si>
    <t>16th May 2016</t>
  </si>
  <si>
    <t>OptiMidea-001-July-2016</t>
  </si>
  <si>
    <t>2-different cheques</t>
  </si>
  <si>
    <t>Godrej-AER</t>
  </si>
  <si>
    <t>Mobinet-001-July-2016</t>
  </si>
  <si>
    <t>9th Aug 2016</t>
  </si>
  <si>
    <t>Jal Daan</t>
  </si>
  <si>
    <t>Vertoz-0001-May-2016</t>
  </si>
  <si>
    <t>16th Jul 2016</t>
  </si>
  <si>
    <t>7th Jul 2016</t>
  </si>
  <si>
    <t>Vertoz-0002-Jun-2016</t>
  </si>
  <si>
    <t>20th May 2016</t>
  </si>
  <si>
    <t>MMT-MMTBUS-CPV</t>
  </si>
  <si>
    <t>Digidesk Media-016-Mar-2016</t>
  </si>
  <si>
    <t>Total Turnover</t>
  </si>
  <si>
    <t>Total Service Tax</t>
  </si>
  <si>
    <t>Click Thru Network</t>
  </si>
  <si>
    <t>CTN-001-June-2016</t>
  </si>
  <si>
    <t>Inv Month</t>
  </si>
  <si>
    <t>Advertiser</t>
  </si>
  <si>
    <t>Dec 2015</t>
  </si>
  <si>
    <t>Jan 2016</t>
  </si>
  <si>
    <t>Icubes Wire</t>
  </si>
  <si>
    <t>16th Apr 2016</t>
  </si>
  <si>
    <t>Feb 2016</t>
  </si>
  <si>
    <t>April 2016</t>
  </si>
  <si>
    <t>ADOMANTRA</t>
  </si>
  <si>
    <t>Bizwin Media</t>
  </si>
  <si>
    <t>Mar 2016</t>
  </si>
  <si>
    <t>Fork Media/Clickzoot</t>
  </si>
  <si>
    <t>Media Conversion</t>
  </si>
  <si>
    <t>Aqugen Media</t>
  </si>
  <si>
    <t>May 2016</t>
  </si>
  <si>
    <t>D-Creative</t>
  </si>
  <si>
    <t>Opicle Technologies</t>
  </si>
  <si>
    <t>DGM India</t>
  </si>
  <si>
    <t>Apr 2016</t>
  </si>
  <si>
    <t>March 2016</t>
  </si>
  <si>
    <t>HttPool</t>
  </si>
  <si>
    <t>13th April 2016</t>
  </si>
  <si>
    <t>AD2CLICK - SGS GLOBAL SERVICES</t>
  </si>
  <si>
    <t>29th June 2016</t>
  </si>
  <si>
    <t>Jun 2016</t>
  </si>
  <si>
    <t>12th Jul 2016</t>
  </si>
  <si>
    <t>July 2016</t>
  </si>
  <si>
    <t>7th July 2016</t>
  </si>
  <si>
    <t>TYROO-00150-Mar-2016-International</t>
  </si>
  <si>
    <t>TYROO-00151-Apr-2016-International</t>
  </si>
  <si>
    <t>TYROO-00152-May-2016-International</t>
  </si>
  <si>
    <t>TYROO-00153-June-2016-International</t>
  </si>
  <si>
    <t>Aug 2016</t>
  </si>
  <si>
    <t>OpicleTechnologies-005-June-2016</t>
  </si>
  <si>
    <t>Click on the Advertiser Name</t>
  </si>
  <si>
    <t>Sense-Digital-006-June-2016</t>
  </si>
  <si>
    <t>iCubeswire-022-June-2016</t>
  </si>
  <si>
    <t>25th Aug 2016</t>
  </si>
  <si>
    <t>23rd Aug 2016</t>
  </si>
  <si>
    <t>DGMatix-023-May-2016</t>
  </si>
  <si>
    <t>26th Aug 2016</t>
  </si>
  <si>
    <t>OTNT + PGB - USA</t>
  </si>
  <si>
    <t>-</t>
  </si>
  <si>
    <t>AquGen-015-July-2016</t>
  </si>
  <si>
    <t>29th Aug 2016</t>
  </si>
  <si>
    <t>JCB</t>
  </si>
  <si>
    <t>Bizwin-050-Aug-2016</t>
  </si>
  <si>
    <t>Myinsuranceclub</t>
  </si>
  <si>
    <t>Myinsuranceclub-001-July-2016</t>
  </si>
  <si>
    <t>My Insurance Club</t>
  </si>
  <si>
    <t>Unicef</t>
  </si>
  <si>
    <t>Refearn-001-June-2016</t>
  </si>
  <si>
    <t>Refearn</t>
  </si>
  <si>
    <t>Capgemini</t>
  </si>
  <si>
    <t>Ado/16‐079</t>
  </si>
  <si>
    <t>31st Aug 2016</t>
  </si>
  <si>
    <t>Philips STA</t>
  </si>
  <si>
    <t>Ado/16‐069</t>
  </si>
  <si>
    <t>Httpool-0002-June-2016</t>
  </si>
  <si>
    <t>5th Sep 2016</t>
  </si>
  <si>
    <t>Bizwin-051-Aug-2016</t>
  </si>
  <si>
    <t>Virgin Atlantic</t>
  </si>
  <si>
    <t>3rd Sep 2016</t>
  </si>
  <si>
    <t>Admitad</t>
  </si>
  <si>
    <t>Admitad-001-May-June-July-2016</t>
  </si>
  <si>
    <t>6th Sep 2016</t>
  </si>
  <si>
    <t>May-Jun-Jul 2016</t>
  </si>
  <si>
    <t>7th Sep 2016</t>
  </si>
  <si>
    <t>14th Sept 2016</t>
  </si>
  <si>
    <t>14th Sep 2016</t>
  </si>
  <si>
    <t>OpicleTechnologies-006-July-2016</t>
  </si>
  <si>
    <t>9th Sep 2016</t>
  </si>
  <si>
    <t>19th Sep 2016</t>
  </si>
  <si>
    <t>AquGen-016-Aug-2016</t>
  </si>
  <si>
    <t>27th Sep 2016</t>
  </si>
  <si>
    <t>Vwash</t>
  </si>
  <si>
    <t>Ado/16‐086</t>
  </si>
  <si>
    <t>22nd Sep 2016</t>
  </si>
  <si>
    <t>Sep 2016</t>
  </si>
  <si>
    <t>iCubeswire-023-July-2016</t>
  </si>
  <si>
    <t>23rd Sep 2016</t>
  </si>
  <si>
    <t>Adomantra-0141</t>
  </si>
  <si>
    <t>Adomantra-0142</t>
  </si>
  <si>
    <t>Adomantra-0143</t>
  </si>
  <si>
    <t>Adomantra-0144</t>
  </si>
  <si>
    <t>Adomantra-0145</t>
  </si>
  <si>
    <t>Adomantra-0146</t>
  </si>
  <si>
    <t>Adomantra-0147</t>
  </si>
  <si>
    <t>Adomantra-0148</t>
  </si>
  <si>
    <t>Adomantra-0149</t>
  </si>
  <si>
    <t>Adomantra-0150</t>
  </si>
  <si>
    <t>Adomantra-0151</t>
  </si>
  <si>
    <t>Adomantra-0152</t>
  </si>
  <si>
    <t>Adomantra-0153</t>
  </si>
  <si>
    <t>Adomantra-0154</t>
  </si>
  <si>
    <t>Adomantra-0155</t>
  </si>
  <si>
    <t>Adomantra-0156</t>
  </si>
  <si>
    <t>Adomantra-0157</t>
  </si>
  <si>
    <t>Adomantra-0158</t>
  </si>
  <si>
    <t>Adomantra-0159</t>
  </si>
  <si>
    <t>Adomantra-0160</t>
  </si>
  <si>
    <t>Asian Paints Smartcare</t>
  </si>
  <si>
    <t>CPD</t>
  </si>
  <si>
    <t>Ado/16‐092</t>
  </si>
  <si>
    <t>30th Sep 2016</t>
  </si>
  <si>
    <t>Bizwin-052-Sep-2016</t>
  </si>
  <si>
    <t>1st Oct 2016</t>
  </si>
  <si>
    <t>Bizwin-053-Sep-2016</t>
  </si>
  <si>
    <t>Exxon</t>
  </si>
  <si>
    <t>Vodafone</t>
  </si>
  <si>
    <t>Ado/16-091</t>
  </si>
  <si>
    <t>NEFT HDFC</t>
  </si>
  <si>
    <t>Ado/16-094</t>
  </si>
  <si>
    <t>4th Oct 2016</t>
  </si>
  <si>
    <t>Bizwin-054-Sep-2016</t>
  </si>
  <si>
    <t>Hitachi</t>
  </si>
  <si>
    <t>Bizwin-055-Sep-2016</t>
  </si>
  <si>
    <t>Bizwin-056-Sep-2016</t>
  </si>
  <si>
    <t>Bizwin-057-Sep-2016</t>
  </si>
  <si>
    <t>Mobinet-002-Aug-2016</t>
  </si>
  <si>
    <t>Godrej Protekt</t>
  </si>
  <si>
    <t>Mobinet-003-Aug-2016</t>
  </si>
  <si>
    <t>Godrej Expert</t>
  </si>
  <si>
    <t>6th Oct 2016</t>
  </si>
  <si>
    <t>Mobinet-004-Sep-2016</t>
  </si>
  <si>
    <t>Godrej Masterblaster</t>
  </si>
  <si>
    <t>5th Oct 2016</t>
  </si>
  <si>
    <t>10th Oct 2016</t>
  </si>
  <si>
    <t>14th Oct 2016</t>
  </si>
  <si>
    <t>13th Oct 2016</t>
  </si>
  <si>
    <t>19th Oct 2016</t>
  </si>
  <si>
    <t>MediaConversion-033-Sep-2016</t>
  </si>
  <si>
    <t>20th Oct 2016</t>
  </si>
  <si>
    <t>MediaConversion-034-Sep-2016</t>
  </si>
  <si>
    <t>Citibank CPO Mailers</t>
  </si>
  <si>
    <t>CPO</t>
  </si>
  <si>
    <t>Maruti Brezza</t>
  </si>
  <si>
    <t>Ado/16‐098</t>
  </si>
  <si>
    <t>Oct 2016</t>
  </si>
  <si>
    <t>Ad2click -002-Jul-2016</t>
  </si>
  <si>
    <t>OptiMidea-002-Aug-2016</t>
  </si>
  <si>
    <t>Branding + CPL</t>
  </si>
  <si>
    <t>OpicleTechnologies-007-Aug-2016</t>
  </si>
  <si>
    <t>CPL+CPV</t>
  </si>
  <si>
    <t>Vertoz-0003-Sep-2016</t>
  </si>
  <si>
    <t>CPC+CPV</t>
  </si>
  <si>
    <t>CTN-002-Sep-2016</t>
  </si>
  <si>
    <t>21st Oct 2016</t>
  </si>
  <si>
    <t>24th Oct 2016</t>
  </si>
  <si>
    <t>Ado/16‐106</t>
  </si>
  <si>
    <t>Capital Float</t>
  </si>
  <si>
    <t>26th Oct 2016</t>
  </si>
  <si>
    <t>Ado/16‐091</t>
  </si>
  <si>
    <t>7th Oct 2016</t>
  </si>
  <si>
    <t>25th Oct 2016</t>
  </si>
  <si>
    <t>28th Oct 2016</t>
  </si>
  <si>
    <t>4th Nov 2016</t>
  </si>
  <si>
    <t>Ado/16‐108</t>
  </si>
  <si>
    <t>VW Testimonial</t>
  </si>
  <si>
    <t>iCubeswire-024-Aug-2016</t>
  </si>
  <si>
    <t>Bizwin-058-Sep+Oct-2016</t>
  </si>
  <si>
    <t>Bizwin-059-Sep+Oct-2016</t>
  </si>
  <si>
    <t>Bizwin-060-Oct-2016</t>
  </si>
  <si>
    <t>Bizwin-061-Oct-2016</t>
  </si>
  <si>
    <t>Bizwin-062-Oct-2016</t>
  </si>
  <si>
    <t>Bizwin-063-Oct-2016</t>
  </si>
  <si>
    <t>Cisco-Fisme+KNN</t>
  </si>
  <si>
    <t>Cisco-Newsletter</t>
  </si>
  <si>
    <t>Cisco-Nasscom</t>
  </si>
  <si>
    <t>7th Nov 2016</t>
  </si>
  <si>
    <t>Sep+Oct 2016</t>
  </si>
  <si>
    <t>3rd Nov 2016</t>
  </si>
  <si>
    <t>MediaConversion-035-Sep+Oct-2016</t>
  </si>
  <si>
    <t>11th Nov 2016</t>
  </si>
  <si>
    <t>Mobinet-005-Oct-2016</t>
  </si>
  <si>
    <t>Milton</t>
  </si>
  <si>
    <t>OptiMidea-003-Sep-2016</t>
  </si>
  <si>
    <t>Ad2click -003-Sep-2016</t>
  </si>
  <si>
    <t>17th Nov 2016</t>
  </si>
  <si>
    <t>OpicleTechnologies-008-Sep-2016</t>
  </si>
  <si>
    <t>21st Nov 2016</t>
  </si>
  <si>
    <t>MediaConversion-036-Nov-2016</t>
  </si>
  <si>
    <t>Samsumg-PR</t>
  </si>
  <si>
    <t>Honda Brio</t>
  </si>
  <si>
    <t>MediaConversion-037-Nov-2016</t>
  </si>
  <si>
    <t>Oct - Nov 2016</t>
  </si>
  <si>
    <t>24th Nov 2016</t>
  </si>
  <si>
    <t>23rd Nov 2016</t>
  </si>
  <si>
    <t>29th Nov 2016</t>
  </si>
  <si>
    <t>Catalyst-001-Sep-2016</t>
  </si>
  <si>
    <t>Catalyst</t>
  </si>
  <si>
    <t>Catalyst Web Trendz Pvt Ltd</t>
  </si>
  <si>
    <t>Ado/16‐104</t>
  </si>
  <si>
    <t>Asian Paints Epoxy‐TN</t>
  </si>
  <si>
    <t>Ado/16‐094</t>
  </si>
  <si>
    <t>Nov 2016</t>
  </si>
  <si>
    <t>Mobinet-006-Nov-2016</t>
  </si>
  <si>
    <t>Adidas</t>
  </si>
  <si>
    <t>Bizwin-064-Nov-2016</t>
  </si>
  <si>
    <t>SAP</t>
  </si>
  <si>
    <t>Bizwin-065-Nov-2016</t>
  </si>
  <si>
    <t>Vertoz-0004-Oct-2016</t>
  </si>
  <si>
    <t>CTN-003-Nov-2016</t>
  </si>
  <si>
    <t>26th July 2016</t>
  </si>
  <si>
    <t>30th Nov 2016</t>
  </si>
  <si>
    <t>iCubeswire-025-Sep-2016</t>
  </si>
  <si>
    <t>Ado/16‐112</t>
  </si>
  <si>
    <t>Maruti Dzire</t>
  </si>
  <si>
    <t>Ado/16‐111</t>
  </si>
  <si>
    <t>Emirates FB Class</t>
  </si>
  <si>
    <t>Ado/16‐113</t>
  </si>
  <si>
    <t>Apcolite Epoxy ‐ AP</t>
  </si>
  <si>
    <t>5th Dec 2016</t>
  </si>
  <si>
    <t>AquGen-017-Sep-2016</t>
  </si>
  <si>
    <t>AquGen-018-Oct-2016</t>
  </si>
  <si>
    <t>13th Dec 2016</t>
  </si>
  <si>
    <t>Bizwin-066-Nov-2016</t>
  </si>
  <si>
    <t>Hitachi-Nov</t>
  </si>
  <si>
    <t>Bizwin-067-Nov-2016</t>
  </si>
  <si>
    <t>Dell</t>
  </si>
  <si>
    <t>Bizwin-068-Oct-2016</t>
  </si>
  <si>
    <t>Hitachi-Oct</t>
  </si>
  <si>
    <t>Apcolite Epoxy ‐ Chennai</t>
  </si>
  <si>
    <t>Ado/16‐120</t>
  </si>
  <si>
    <t>14th Dec 2016</t>
  </si>
  <si>
    <t>Dec 2016</t>
  </si>
  <si>
    <t>Dcreative-143-Nov-2016</t>
  </si>
  <si>
    <t>15th Dec 2016</t>
  </si>
  <si>
    <t>AD2CLICK - SGS Global</t>
  </si>
  <si>
    <t>OpicleTechnologies-009-Oct-2016</t>
  </si>
  <si>
    <t>22nd Dec 2016</t>
  </si>
  <si>
    <t>1st Dec 2016</t>
  </si>
  <si>
    <t>Komli-00195-July-2016</t>
  </si>
  <si>
    <t>iCubeswire-026-Oct-2016</t>
  </si>
  <si>
    <t>2nd Jan 2017</t>
  </si>
  <si>
    <t>Adomantra-0161</t>
  </si>
  <si>
    <t>Adomantra-0162</t>
  </si>
  <si>
    <t>Adomantra-0163</t>
  </si>
  <si>
    <t>Adomantra-0164</t>
  </si>
  <si>
    <t>Adomantra-0165</t>
  </si>
  <si>
    <t>Adomantra-0166</t>
  </si>
  <si>
    <t>Adomantra-0167</t>
  </si>
  <si>
    <t>Adomantra-0168</t>
  </si>
  <si>
    <t>Adomantra-0169</t>
  </si>
  <si>
    <t>Adomantra-0170</t>
  </si>
  <si>
    <t>Adomantra-0171</t>
  </si>
  <si>
    <t>Adomantra-0172</t>
  </si>
  <si>
    <t>Adomantra-0173</t>
  </si>
  <si>
    <t>Adomantra-0174</t>
  </si>
  <si>
    <t>Adomantra-0175</t>
  </si>
  <si>
    <t>Adomantra-0176</t>
  </si>
  <si>
    <t>Adomantra-0177</t>
  </si>
  <si>
    <t>Adomantra-0178</t>
  </si>
  <si>
    <t>Adomantra-0179</t>
  </si>
  <si>
    <t>Adomantra-0180</t>
  </si>
  <si>
    <t>Maruti-Dzire</t>
  </si>
  <si>
    <t>Lenovo</t>
  </si>
  <si>
    <t>Ado/16‐123</t>
  </si>
  <si>
    <t>Ado/16‐130</t>
  </si>
  <si>
    <t>Asian Paints Site Promotion</t>
  </si>
  <si>
    <t>Ado/16‐127</t>
  </si>
  <si>
    <t>Infocus</t>
  </si>
  <si>
    <t>Ado/16‐128</t>
  </si>
  <si>
    <t>Bit Bucket</t>
  </si>
  <si>
    <t>Ado/16‐135</t>
  </si>
  <si>
    <t>Ola Outstation</t>
  </si>
  <si>
    <t>Ado/16‐121</t>
  </si>
  <si>
    <t>OLA Rental Wedding</t>
  </si>
  <si>
    <t>Bizwin-069-Dec-2016</t>
  </si>
  <si>
    <t>Hitachi-Dec</t>
  </si>
  <si>
    <t>17th Dec 2016</t>
  </si>
  <si>
    <t>30th Dec 2016</t>
  </si>
  <si>
    <t>16th Dec 2016</t>
  </si>
  <si>
    <t>OptiMidea-004-Oct-2016</t>
  </si>
  <si>
    <t>3rd Jan 2017</t>
  </si>
  <si>
    <t>Fork Media-027-May-2016</t>
  </si>
  <si>
    <t>Fork Media-028-June-2016</t>
  </si>
  <si>
    <t>Fork Media-029-July-2016</t>
  </si>
  <si>
    <t>Fork Media-030-Aug-2016</t>
  </si>
  <si>
    <t>Fork Media-031-Sep-2016</t>
  </si>
  <si>
    <t>Fork Media-032-Oct-2016</t>
  </si>
  <si>
    <t>Fork Media-033-Nov-2016</t>
  </si>
  <si>
    <t>4th Jan 2017</t>
  </si>
  <si>
    <t>Bizwin-070-Dec-2016</t>
  </si>
  <si>
    <t>Digidesk Media-019-Dec-2016</t>
  </si>
  <si>
    <t>Reliance-CPC</t>
  </si>
  <si>
    <t>9th Jan 2016</t>
  </si>
  <si>
    <t>9th Jan 2017</t>
  </si>
  <si>
    <t>Ado/16‐131</t>
  </si>
  <si>
    <t>UP SELL ‐ Apcolite Epoxy</t>
  </si>
  <si>
    <t>2nd Jan 2016</t>
  </si>
  <si>
    <t>Mobinet-007-Dec-2016</t>
  </si>
  <si>
    <t>Godrej-Hit-Cik</t>
  </si>
  <si>
    <t>Xapads</t>
  </si>
  <si>
    <t>Xapads-001-Dec-2016</t>
  </si>
  <si>
    <t>India Pop</t>
  </si>
  <si>
    <t>Xapads Media</t>
  </si>
  <si>
    <t>Vertoz-0005-Dec-2016</t>
  </si>
  <si>
    <t>7th Jan 2017</t>
  </si>
  <si>
    <t>AquGen-019-Nov-2016</t>
  </si>
  <si>
    <t>11th Jan 2017</t>
  </si>
  <si>
    <t>MediaConversion-038-Dec-2016</t>
  </si>
  <si>
    <t>12th Jan 2017</t>
  </si>
  <si>
    <t>MediaConversion-039-Dec-2016</t>
  </si>
  <si>
    <t>CIBIL Banners + Mailers</t>
  </si>
  <si>
    <t>CTN-004-Dec-2016</t>
  </si>
  <si>
    <t>Wagon-R</t>
  </si>
  <si>
    <t>Fork Media-034-Dec-2016</t>
  </si>
  <si>
    <t>Master-Card-Uber</t>
  </si>
  <si>
    <t>Fork Media-035-Dec-2016</t>
  </si>
  <si>
    <t>Firstpost-Desktop-Mobile</t>
  </si>
  <si>
    <t>Fork Media-036-Dec-2016</t>
  </si>
  <si>
    <t>India-Today</t>
  </si>
  <si>
    <t>13th Jan 2017</t>
  </si>
  <si>
    <t>17th Jan 2017</t>
  </si>
  <si>
    <t>Ado/17‐139</t>
  </si>
  <si>
    <t>Ado/17‐148</t>
  </si>
  <si>
    <t>Ado/16‐134</t>
  </si>
  <si>
    <t>AP Site Promotion</t>
  </si>
  <si>
    <t>Wipro Safe Wash</t>
  </si>
  <si>
    <t>India Wealth Download</t>
  </si>
  <si>
    <t>APHS‐COIMBATORE</t>
  </si>
  <si>
    <t>19th Jan 2017</t>
  </si>
  <si>
    <t>Jan 2017</t>
  </si>
  <si>
    <t>Ado/16‐129</t>
  </si>
  <si>
    <t>Ado/17‐141</t>
  </si>
  <si>
    <t>27th Jan 2017</t>
  </si>
  <si>
    <t>30th Jan 2017</t>
  </si>
  <si>
    <t>Mobinet-008-Dec-2016</t>
  </si>
  <si>
    <t>Godrej-Protekt-Master-Blaster</t>
  </si>
  <si>
    <t>31st Jan 2017</t>
  </si>
  <si>
    <t>OLA-Rental</t>
  </si>
  <si>
    <t>Ado/17‐143</t>
  </si>
  <si>
    <t>Renault-Kwid</t>
  </si>
  <si>
    <t>Ado/17‐156</t>
  </si>
  <si>
    <t>1st Feb 2017</t>
  </si>
  <si>
    <t>Ado/16‐137</t>
  </si>
  <si>
    <t>Apcolite Door</t>
  </si>
  <si>
    <t>Ado/17‐140</t>
  </si>
  <si>
    <t>Tata Salt Survey</t>
  </si>
  <si>
    <t>iCubeswire-027-Nov-2016</t>
  </si>
  <si>
    <t>2nd Feb 2017</t>
  </si>
  <si>
    <t>TYROO-00154-July-2016</t>
  </si>
  <si>
    <t>6th Feb 2017</t>
  </si>
  <si>
    <t>Vertoz-0006-Discovery</t>
  </si>
  <si>
    <t>Discovery</t>
  </si>
  <si>
    <t>OBV</t>
  </si>
  <si>
    <t>AdsPayMedia-001-Dec-2016</t>
  </si>
  <si>
    <t>AdsPayMedia-002-Jan-2017</t>
  </si>
  <si>
    <t>AdsPayMedia</t>
  </si>
  <si>
    <t>Ads Pay Media</t>
  </si>
  <si>
    <t>Bizwin-071-Jan-2017</t>
  </si>
  <si>
    <t>Hitachi-Jan</t>
  </si>
  <si>
    <t>Bizwin-072-Jan-2017</t>
  </si>
  <si>
    <t>Cisco-Jan</t>
  </si>
  <si>
    <t>Bizwin-073-Jan-2017</t>
  </si>
  <si>
    <t>Bizwin-074-Jan-2017</t>
  </si>
  <si>
    <t>24th Jan 2017</t>
  </si>
  <si>
    <t>Fork Media-037-Dec-2016</t>
  </si>
  <si>
    <t>IDFC</t>
  </si>
  <si>
    <t>Fork Media-038-Jan-2017</t>
  </si>
  <si>
    <t>Firstpost</t>
  </si>
  <si>
    <t>Catalyst-002-Nov-2016</t>
  </si>
  <si>
    <t>Ad-Click-Zone</t>
  </si>
  <si>
    <t>Adclickzone-001-Jan-2017</t>
  </si>
  <si>
    <t>Bajaj-Allianz</t>
  </si>
  <si>
    <t>Ad Click Zone</t>
  </si>
  <si>
    <t>OpicleTechnologies-010-Nov-2016</t>
  </si>
  <si>
    <t>Dcreative-144-Dec-2016</t>
  </si>
  <si>
    <t>AdSpar</t>
  </si>
  <si>
    <t>AdSpar-001-Nov-2016</t>
  </si>
  <si>
    <t>23rd Jan 2017</t>
  </si>
  <si>
    <t>AdSpar Media</t>
  </si>
  <si>
    <t>Adhunterz-001-Jan-2017</t>
  </si>
  <si>
    <t>CocaCola</t>
  </si>
  <si>
    <t>7th Feb 2017</t>
  </si>
  <si>
    <t>Adhunterz</t>
  </si>
  <si>
    <t>MLZS</t>
  </si>
  <si>
    <t>Kidzee Enrolment</t>
  </si>
  <si>
    <t>Ado/17‐153</t>
  </si>
  <si>
    <t>Ado/17‐160</t>
  </si>
  <si>
    <t>OptiMidea-005-Nov-2016</t>
  </si>
  <si>
    <t>Rappier-001-Nov-2016</t>
  </si>
  <si>
    <t>Rappier</t>
  </si>
  <si>
    <t>9th Feb 2017</t>
  </si>
  <si>
    <t>13th Feb 2017</t>
  </si>
  <si>
    <t>Pracharnama-001-Jan-2017</t>
  </si>
  <si>
    <t>Pracharnama</t>
  </si>
  <si>
    <t>Pracharnama Media</t>
  </si>
  <si>
    <t>Xapads-002-Jan-2017</t>
  </si>
  <si>
    <t>CTN-005-Oct-2016</t>
  </si>
  <si>
    <t>CTN-006-Nov-2016</t>
  </si>
  <si>
    <t>HDFC-Life-C2PP</t>
  </si>
  <si>
    <t>CTN-007-Dec-2016</t>
  </si>
  <si>
    <t>15th Feb 2017</t>
  </si>
  <si>
    <t>17th Feb 2017</t>
  </si>
  <si>
    <t>16th Feb 2017</t>
  </si>
  <si>
    <t>Ado/17‐159</t>
  </si>
  <si>
    <t>Samsung Gears</t>
  </si>
  <si>
    <t>20th Feb 2017</t>
  </si>
  <si>
    <t>Feb 2017</t>
  </si>
  <si>
    <t>Mobinet-009-Jan-2017</t>
  </si>
  <si>
    <t>Airtel-4G Handset</t>
  </si>
  <si>
    <t>Mobinet-010-Jan-2017</t>
  </si>
  <si>
    <t>Non-Airtel-4G Handset</t>
  </si>
  <si>
    <t>Mobinet-011-Dec-2016</t>
  </si>
  <si>
    <t>Tata-Salt-Lite-Desktop-Mobile</t>
  </si>
  <si>
    <t>Mobinet-012-Dec-2016</t>
  </si>
  <si>
    <t>Tata-Masaleddar</t>
  </si>
  <si>
    <t>23rd Feb 2017</t>
  </si>
  <si>
    <t>Kidzee-Enrolment</t>
  </si>
  <si>
    <t>Vertoz-0007-Jan-2017</t>
  </si>
  <si>
    <t>AdSpar-002-Dec-2016</t>
  </si>
  <si>
    <t>22nd Feb 2017</t>
  </si>
  <si>
    <t>Adzjunction-001-Jan-2017</t>
  </si>
  <si>
    <t>Jaldaan</t>
  </si>
  <si>
    <t>Adzjunction</t>
  </si>
  <si>
    <t>27th Feb 2017</t>
  </si>
  <si>
    <t>1st March 2017</t>
  </si>
  <si>
    <t>Ado/17‐162</t>
  </si>
  <si>
    <t>Emirates F&amp;J</t>
  </si>
  <si>
    <t>Ado/17‐163</t>
  </si>
  <si>
    <t>A P Beautiful Homes</t>
  </si>
  <si>
    <t>Ado/17‐167</t>
  </si>
  <si>
    <t>Renault Kwid Desk+Mob</t>
  </si>
  <si>
    <t>28th Feb 2017</t>
  </si>
  <si>
    <t>iCubeswire-028-Dec-2016</t>
  </si>
  <si>
    <t>1st Mar 2017</t>
  </si>
  <si>
    <t>MediaConversion-041-Feb-2017</t>
  </si>
  <si>
    <t>Birla-Sun-Life</t>
  </si>
  <si>
    <t>2nd March 2017</t>
  </si>
  <si>
    <t>Bizwin-076-Jan-2017</t>
  </si>
  <si>
    <t>Nescafe</t>
  </si>
  <si>
    <t>Bizwin-075-Jan-2017</t>
  </si>
  <si>
    <t>Adomantra-0181</t>
  </si>
  <si>
    <t>Adomantra-0182</t>
  </si>
  <si>
    <t>Adomantra-0183</t>
  </si>
  <si>
    <t>Adomantra-0184</t>
  </si>
  <si>
    <t>Adomantra-0185</t>
  </si>
  <si>
    <t>4th March 2017</t>
  </si>
  <si>
    <t>Rappier-002-Dec-2016</t>
  </si>
  <si>
    <t>7th March 2017</t>
  </si>
  <si>
    <t>OptiMidea-006-Dec-2016</t>
  </si>
  <si>
    <t>7th Mar 2017</t>
  </si>
  <si>
    <t>Adclickzone-002-Dec-2016</t>
  </si>
  <si>
    <t>Adclickzone-003-Jan-2017</t>
  </si>
  <si>
    <t>Musafir</t>
  </si>
  <si>
    <t>Ado/17‐182</t>
  </si>
  <si>
    <t>AquGen-020-Dec-2016</t>
  </si>
  <si>
    <t>AquGen-021-Jan-2017</t>
  </si>
  <si>
    <t>21st March 2017</t>
  </si>
  <si>
    <t>Esperto</t>
  </si>
  <si>
    <t>21st Mar 2017</t>
  </si>
  <si>
    <t>Esperto-001-Dec-2016</t>
  </si>
  <si>
    <t>Esperto Digital</t>
  </si>
  <si>
    <t>24th Mar 2017</t>
  </si>
  <si>
    <t>27th March 2017</t>
  </si>
  <si>
    <t>Adomantra-0186</t>
  </si>
  <si>
    <t>Adomantra-0187</t>
  </si>
  <si>
    <t>Adomantra-0188</t>
  </si>
  <si>
    <t>Adomantra-0189</t>
  </si>
  <si>
    <t>Adomantra-0190</t>
  </si>
  <si>
    <t>Adomantra-0191</t>
  </si>
  <si>
    <t>Adomantra-0192</t>
  </si>
  <si>
    <t>Adomantra-0193</t>
  </si>
  <si>
    <t>Adomantra-0194</t>
  </si>
  <si>
    <t>Adomantra-0195</t>
  </si>
  <si>
    <t>Adomantra-0196</t>
  </si>
  <si>
    <t>Adomantra-0197</t>
  </si>
  <si>
    <t>Adomantra-0198</t>
  </si>
  <si>
    <t>Adomantra-0199</t>
  </si>
  <si>
    <t>Adomantra-0200</t>
  </si>
  <si>
    <t>Adomantra-0201</t>
  </si>
  <si>
    <t>Apnapaisa</t>
  </si>
  <si>
    <t>CIBC Bank Pakistan</t>
  </si>
  <si>
    <t>CIBC Bank Sri Lankan</t>
  </si>
  <si>
    <t>Renault Kwid Climber</t>
  </si>
  <si>
    <t>Reliance Car Insurance</t>
  </si>
  <si>
    <t>AP Delhi Beautiful Homes</t>
  </si>
  <si>
    <t>Bajaj Allianz Health</t>
  </si>
  <si>
    <t>Bajaj Allianz Home</t>
  </si>
  <si>
    <t>Bajaj Allianz Travel</t>
  </si>
  <si>
    <t>Bajaj Allianz Car</t>
  </si>
  <si>
    <t>Smartcare Water Proof</t>
  </si>
  <si>
    <t>IBM</t>
  </si>
  <si>
    <t>Kwid Desktop</t>
  </si>
  <si>
    <t>Kwid Mobile</t>
  </si>
  <si>
    <t>AP Beautiful Homes</t>
  </si>
  <si>
    <t>Ado/17-185</t>
  </si>
  <si>
    <t>Ado/17-197</t>
  </si>
  <si>
    <t>Ado/17-188</t>
  </si>
  <si>
    <t>Ado/17-181</t>
  </si>
  <si>
    <t>Ado/17-180</t>
  </si>
  <si>
    <t>Ado/17-191</t>
  </si>
  <si>
    <t>Ado/17-165</t>
  </si>
  <si>
    <t>Ado/17-183</t>
  </si>
  <si>
    <t>Ado/17-175</t>
  </si>
  <si>
    <t>Ado/17-172</t>
  </si>
  <si>
    <t>Ado/17-171</t>
  </si>
  <si>
    <t>Ado/17-169</t>
  </si>
  <si>
    <t>Bajaj Allianz Two Wheeler</t>
  </si>
  <si>
    <t>Ado/17-170</t>
  </si>
  <si>
    <t>Ado/17-193</t>
  </si>
  <si>
    <t>Ado/17-200</t>
  </si>
  <si>
    <t>Ado/17-199</t>
  </si>
  <si>
    <t>Ado/17-187</t>
  </si>
  <si>
    <t>Ado/17-198</t>
  </si>
  <si>
    <t>Ado/17-195</t>
  </si>
  <si>
    <t>30th Mar 2017</t>
  </si>
  <si>
    <t>Mar 2017</t>
  </si>
  <si>
    <t>31st Mar 2017</t>
  </si>
  <si>
    <t>Zeematics-001-Mar-2017</t>
  </si>
  <si>
    <t>Zeematics</t>
  </si>
  <si>
    <t>22nd Mar 2017</t>
  </si>
  <si>
    <t>Komli-00199-Aug-2016</t>
  </si>
  <si>
    <t>Native-Advertising</t>
  </si>
  <si>
    <t>Komli-00200-Sep-2016</t>
  </si>
  <si>
    <t>Komli-00201-Oct-2016</t>
  </si>
  <si>
    <t>Komli-00202-Nov-2016</t>
  </si>
  <si>
    <t>Komli-00203-Dec-2016</t>
  </si>
  <si>
    <t>Komli-00196-April-2016-Pending-Campaigns</t>
  </si>
  <si>
    <t>5th Apr 2017</t>
  </si>
  <si>
    <t>3rd April 2017</t>
  </si>
  <si>
    <t>11th Apr 2017</t>
  </si>
  <si>
    <t>13th Apr 2017</t>
  </si>
  <si>
    <t>18th Apr 2017</t>
  </si>
  <si>
    <t>25th Apr 2017</t>
  </si>
  <si>
    <t>12th May 2017</t>
  </si>
  <si>
    <t>10th Apr 2017</t>
  </si>
  <si>
    <t>DGPerform-021-Dec-2016</t>
  </si>
  <si>
    <t>DGPerform-022-Jan-2017</t>
  </si>
  <si>
    <t>21st Feb 2017</t>
  </si>
  <si>
    <t>3rd Mar 2017</t>
  </si>
  <si>
    <t>24th May 2017</t>
  </si>
  <si>
    <t>3rd June 2017</t>
  </si>
  <si>
    <t>7th June 2017</t>
  </si>
  <si>
    <t>8th June 2017</t>
  </si>
  <si>
    <t>6th June 2017</t>
  </si>
  <si>
    <t>15th June 2017</t>
  </si>
  <si>
    <t>27th June 2017</t>
  </si>
  <si>
    <t xml:space="preserve"> </t>
  </si>
  <si>
    <t>16th March 2017</t>
  </si>
  <si>
    <t>Pracharnama-002-Feb-2017</t>
  </si>
  <si>
    <t>Pracharnama-003-Jan-2017</t>
  </si>
  <si>
    <t>21st July 2017</t>
  </si>
  <si>
    <t>25th Jul 2017</t>
  </si>
  <si>
    <t>28th July 2017</t>
  </si>
  <si>
    <t>31st July 2017</t>
  </si>
  <si>
    <t>28th June 2017</t>
  </si>
  <si>
    <t>27th Sep 2017</t>
  </si>
  <si>
    <t>4th Oct 2017</t>
  </si>
  <si>
    <t>1st Nov 2017</t>
  </si>
  <si>
    <t>17th May 2017</t>
  </si>
  <si>
    <t>21st March 2018</t>
  </si>
  <si>
    <t>UPDATED - 14th Jan 2020</t>
  </si>
  <si>
    <t>9987071159-Amay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</si>
</sst>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7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7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9900"/>
      </left>
      <right style="thin">
        <color rgb="FFFF9900"/>
      </right>
      <top style="thin">
        <color rgb="FFFF9900"/>
      </top>
      <bottom style="thin">
        <color rgb="FFFF9900"/>
      </bottom>
      <diagonal/>
    </border>
    <border>
      <left style="thin">
        <color rgb="FFFF9900"/>
      </left>
      <right style="thin">
        <color rgb="FFFF9900"/>
      </right>
      <top style="thin">
        <color rgb="FFFF99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rgb="FFFF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FF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8">
    <xf numFmtId="0" fontId="0" fillId="0" borderId="0" xfId="0"/>
    <xf numFmtId="0" fontId="7" fillId="0" borderId="2" xfId="0" applyFont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1" fontId="7" fillId="4" borderId="3" xfId="0" applyNumberFormat="1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6" fillId="6" borderId="3" xfId="0" applyFont="1" applyFill="1" applyBorder="1" applyAlignment="1">
      <alignment horizontal="left"/>
    </xf>
    <xf numFmtId="0" fontId="10" fillId="5" borderId="0" xfId="1" applyFont="1" applyFill="1" applyAlignment="1">
      <alignment horizontal="left"/>
    </xf>
    <xf numFmtId="1" fontId="6" fillId="6" borderId="3" xfId="0" applyNumberFormat="1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left" wrapText="1"/>
    </xf>
    <xf numFmtId="1" fontId="11" fillId="7" borderId="3" xfId="0" applyNumberFormat="1" applyFont="1" applyFill="1" applyBorder="1" applyAlignment="1">
      <alignment horizontal="left"/>
    </xf>
    <xf numFmtId="0" fontId="11" fillId="8" borderId="3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1" fontId="11" fillId="0" borderId="3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wrapText="1"/>
    </xf>
    <xf numFmtId="1" fontId="8" fillId="0" borderId="3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 wrapText="1"/>
    </xf>
    <xf numFmtId="1" fontId="13" fillId="0" borderId="3" xfId="0" applyNumberFormat="1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 wrapText="1"/>
    </xf>
    <xf numFmtId="1" fontId="8" fillId="0" borderId="9" xfId="0" applyNumberFormat="1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1" fontId="8" fillId="0" borderId="0" xfId="0" applyNumberFormat="1" applyFont="1" applyAlignment="1">
      <alignment horizontal="left"/>
    </xf>
    <xf numFmtId="1" fontId="8" fillId="0" borderId="1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1" fontId="7" fillId="4" borderId="3" xfId="0" applyNumberFormat="1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8" fillId="0" borderId="0" xfId="0" applyFont="1"/>
    <xf numFmtId="0" fontId="8" fillId="0" borderId="3" xfId="0" applyFont="1" applyFill="1" applyBorder="1"/>
    <xf numFmtId="1" fontId="8" fillId="0" borderId="3" xfId="0" applyNumberFormat="1" applyFont="1" applyFill="1" applyBorder="1" applyAlignment="1">
      <alignment horizontal="center"/>
    </xf>
    <xf numFmtId="1" fontId="8" fillId="0" borderId="0" xfId="0" applyNumberFormat="1" applyFont="1"/>
    <xf numFmtId="0" fontId="8" fillId="0" borderId="1" xfId="0" applyFont="1" applyFill="1" applyBorder="1"/>
    <xf numFmtId="1" fontId="8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9" fillId="2" borderId="0" xfId="1" applyFont="1" applyFill="1" applyAlignment="1">
      <alignment horizontal="center"/>
    </xf>
    <xf numFmtId="1" fontId="8" fillId="0" borderId="0" xfId="0" applyNumberFormat="1" applyFont="1" applyBorder="1" applyAlignment="1">
      <alignment horizontal="left"/>
    </xf>
    <xf numFmtId="0" fontId="10" fillId="5" borderId="0" xfId="1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" fontId="6" fillId="6" borderId="3" xfId="0" applyNumberFormat="1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9" xfId="0" applyFont="1" applyFill="1" applyBorder="1" applyAlignment="1">
      <alignment horizontal="center"/>
    </xf>
    <xf numFmtId="1" fontId="8" fillId="0" borderId="9" xfId="0" applyNumberFormat="1" applyFont="1" applyFill="1" applyBorder="1" applyAlignment="1">
      <alignment horizontal="center"/>
    </xf>
    <xf numFmtId="16" fontId="8" fillId="0" borderId="1" xfId="0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left"/>
    </xf>
    <xf numFmtId="2" fontId="8" fillId="7" borderId="3" xfId="0" applyNumberFormat="1" applyFont="1" applyFill="1" applyBorder="1" applyAlignment="1">
      <alignment horizontal="left"/>
    </xf>
    <xf numFmtId="1" fontId="8" fillId="7" borderId="3" xfId="0" applyNumberFormat="1" applyFont="1" applyFill="1" applyBorder="1" applyAlignment="1">
      <alignment horizontal="left"/>
    </xf>
    <xf numFmtId="0" fontId="11" fillId="7" borderId="4" xfId="0" applyFont="1" applyFill="1" applyBorder="1" applyAlignment="1">
      <alignment horizontal="left"/>
    </xf>
    <xf numFmtId="2" fontId="8" fillId="0" borderId="3" xfId="0" applyNumberFormat="1" applyFont="1" applyFill="1" applyBorder="1" applyAlignment="1">
      <alignment horizontal="left"/>
    </xf>
    <xf numFmtId="2" fontId="8" fillId="0" borderId="9" xfId="0" applyNumberFormat="1" applyFont="1" applyFill="1" applyBorder="1" applyAlignment="1">
      <alignment horizontal="left"/>
    </xf>
    <xf numFmtId="2" fontId="8" fillId="0" borderId="0" xfId="0" applyNumberFormat="1" applyFont="1" applyAlignment="1">
      <alignment horizontal="left"/>
    </xf>
    <xf numFmtId="16" fontId="7" fillId="4" borderId="3" xfId="0" applyNumberFormat="1" applyFont="1" applyFill="1" applyBorder="1" applyAlignment="1">
      <alignment horizontal="center"/>
    </xf>
    <xf numFmtId="1" fontId="8" fillId="8" borderId="1" xfId="0" applyNumberFormat="1" applyFont="1" applyFill="1" applyBorder="1" applyAlignment="1">
      <alignment horizontal="left"/>
    </xf>
    <xf numFmtId="1" fontId="8" fillId="7" borderId="3" xfId="0" applyNumberFormat="1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left"/>
    </xf>
    <xf numFmtId="16" fontId="8" fillId="7" borderId="1" xfId="0" applyNumberFormat="1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16" fontId="8" fillId="0" borderId="1" xfId="0" applyNumberFormat="1" applyFont="1" applyFill="1" applyBorder="1" applyAlignment="1">
      <alignment horizontal="left"/>
    </xf>
    <xf numFmtId="16" fontId="8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0" fontId="8" fillId="9" borderId="1" xfId="0" applyFont="1" applyFill="1" applyBorder="1" applyAlignment="1">
      <alignment horizontal="left"/>
    </xf>
    <xf numFmtId="1" fontId="8" fillId="9" borderId="1" xfId="0" applyNumberFormat="1" applyFont="1" applyFill="1" applyBorder="1" applyAlignment="1">
      <alignment horizontal="left"/>
    </xf>
    <xf numFmtId="16" fontId="8" fillId="9" borderId="1" xfId="0" applyNumberFormat="1" applyFont="1" applyFill="1" applyBorder="1" applyAlignment="1">
      <alignment horizontal="left"/>
    </xf>
    <xf numFmtId="2" fontId="8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9" fillId="2" borderId="0" xfId="1" applyFont="1" applyFill="1" applyAlignment="1">
      <alignment horizontal="left"/>
    </xf>
    <xf numFmtId="0" fontId="11" fillId="0" borderId="0" xfId="0" applyFont="1"/>
    <xf numFmtId="0" fontId="11" fillId="7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left"/>
    </xf>
    <xf numFmtId="16" fontId="8" fillId="7" borderId="1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2" fontId="11" fillId="0" borderId="3" xfId="0" applyNumberFormat="1" applyFont="1" applyFill="1" applyBorder="1" applyAlignment="1">
      <alignment horizontal="left"/>
    </xf>
    <xf numFmtId="2" fontId="11" fillId="0" borderId="1" xfId="0" applyNumberFormat="1" applyFont="1" applyFill="1" applyBorder="1" applyAlignment="1">
      <alignment horizontal="left"/>
    </xf>
    <xf numFmtId="1" fontId="11" fillId="0" borderId="1" xfId="0" applyNumberFormat="1" applyFont="1" applyFill="1" applyBorder="1" applyAlignment="1">
      <alignment horizontal="left"/>
    </xf>
    <xf numFmtId="0" fontId="11" fillId="0" borderId="4" xfId="0" applyFont="1" applyFill="1" applyBorder="1"/>
    <xf numFmtId="0" fontId="11" fillId="7" borderId="1" xfId="0" applyFont="1" applyFill="1" applyBorder="1" applyAlignment="1">
      <alignment horizontal="left"/>
    </xf>
    <xf numFmtId="2" fontId="11" fillId="7" borderId="1" xfId="0" applyNumberFormat="1" applyFont="1" applyFill="1" applyBorder="1" applyAlignment="1">
      <alignment horizontal="left"/>
    </xf>
    <xf numFmtId="1" fontId="11" fillId="7" borderId="1" xfId="0" applyNumberFormat="1" applyFont="1" applyFill="1" applyBorder="1" applyAlignment="1">
      <alignment horizontal="left"/>
    </xf>
    <xf numFmtId="0" fontId="11" fillId="0" borderId="0" xfId="0" applyFont="1" applyFill="1"/>
    <xf numFmtId="0" fontId="11" fillId="0" borderId="9" xfId="0" applyFont="1" applyFill="1" applyBorder="1" applyAlignment="1">
      <alignment horizontal="left"/>
    </xf>
    <xf numFmtId="0" fontId="11" fillId="0" borderId="1" xfId="0" applyFont="1" applyFill="1" applyBorder="1"/>
    <xf numFmtId="2" fontId="11" fillId="0" borderId="1" xfId="0" applyNumberFormat="1" applyFont="1" applyBorder="1" applyAlignment="1">
      <alignment horizontal="left"/>
    </xf>
    <xf numFmtId="1" fontId="11" fillId="0" borderId="1" xfId="0" applyNumberFormat="1" applyFont="1" applyBorder="1" applyAlignment="1">
      <alignment horizontal="left"/>
    </xf>
    <xf numFmtId="1" fontId="11" fillId="0" borderId="0" xfId="0" applyNumberFormat="1" applyFont="1"/>
    <xf numFmtId="2" fontId="11" fillId="0" borderId="0" xfId="0" applyNumberFormat="1" applyFont="1"/>
    <xf numFmtId="4" fontId="0" fillId="0" borderId="0" xfId="0" applyNumberFormat="1"/>
    <xf numFmtId="0" fontId="18" fillId="2" borderId="0" xfId="1" applyFont="1" applyFill="1" applyAlignment="1">
      <alignment horizontal="center"/>
    </xf>
    <xf numFmtId="1" fontId="0" fillId="0" borderId="0" xfId="0" applyNumberFormat="1"/>
    <xf numFmtId="0" fontId="8" fillId="6" borderId="10" xfId="0" applyFont="1" applyFill="1" applyBorder="1"/>
    <xf numFmtId="0" fontId="6" fillId="6" borderId="3" xfId="0" applyFont="1" applyFill="1" applyBorder="1" applyAlignment="1"/>
    <xf numFmtId="1" fontId="6" fillId="6" borderId="3" xfId="0" applyNumberFormat="1" applyFont="1" applyFill="1" applyBorder="1" applyAlignment="1"/>
    <xf numFmtId="0" fontId="6" fillId="6" borderId="4" xfId="0" applyFont="1" applyFill="1" applyBorder="1" applyAlignment="1"/>
    <xf numFmtId="0" fontId="11" fillId="0" borderId="4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1" fontId="8" fillId="0" borderId="4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4" xfId="0" applyFont="1" applyFill="1" applyBorder="1"/>
    <xf numFmtId="0" fontId="8" fillId="7" borderId="3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16" fontId="8" fillId="7" borderId="3" xfId="0" applyNumberFormat="1" applyFont="1" applyFill="1" applyBorder="1" applyAlignment="1">
      <alignment horizontal="left"/>
    </xf>
    <xf numFmtId="3" fontId="0" fillId="0" borderId="0" xfId="0" applyNumberFormat="1"/>
    <xf numFmtId="3" fontId="20" fillId="0" borderId="0" xfId="0" applyNumberFormat="1" applyFont="1"/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16" fontId="8" fillId="0" borderId="3" xfId="0" applyNumberFormat="1" applyFont="1" applyFill="1" applyBorder="1" applyAlignment="1">
      <alignment horizontal="left"/>
    </xf>
    <xf numFmtId="0" fontId="10" fillId="2" borderId="0" xfId="1" applyFont="1" applyFill="1" applyAlignment="1">
      <alignment horizontal="center"/>
    </xf>
    <xf numFmtId="164" fontId="11" fillId="0" borderId="0" xfId="0" applyNumberFormat="1" applyFont="1"/>
    <xf numFmtId="1" fontId="11" fillId="0" borderId="0" xfId="0" applyNumberFormat="1" applyFont="1" applyAlignment="1">
      <alignment horizontal="left"/>
    </xf>
    <xf numFmtId="2" fontId="11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1" fillId="2" borderId="0" xfId="1" applyFont="1" applyFill="1" applyAlignment="1">
      <alignment horizontal="center"/>
    </xf>
    <xf numFmtId="0" fontId="17" fillId="0" borderId="11" xfId="0" applyFont="1" applyBorder="1" applyAlignment="1">
      <alignment horizontal="left"/>
    </xf>
    <xf numFmtId="1" fontId="0" fillId="0" borderId="12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0" fontId="1" fillId="3" borderId="13" xfId="1" applyFont="1" applyFill="1" applyBorder="1" applyAlignment="1">
      <alignment horizontal="left"/>
    </xf>
    <xf numFmtId="1" fontId="2" fillId="3" borderId="13" xfId="0" applyNumberFormat="1" applyFont="1" applyFill="1" applyBorder="1" applyAlignment="1">
      <alignment horizontal="left"/>
    </xf>
    <xf numFmtId="1" fontId="1" fillId="3" borderId="13" xfId="0" applyNumberFormat="1" applyFont="1" applyFill="1" applyBorder="1" applyAlignment="1">
      <alignment horizontal="left"/>
    </xf>
    <xf numFmtId="3" fontId="1" fillId="3" borderId="13" xfId="1" applyNumberFormat="1" applyFont="1" applyFill="1" applyBorder="1" applyAlignment="1">
      <alignment horizontal="left"/>
    </xf>
    <xf numFmtId="3" fontId="1" fillId="3" borderId="14" xfId="1" applyNumberFormat="1" applyFont="1" applyFill="1" applyBorder="1" applyAlignment="1">
      <alignment horizontal="left"/>
    </xf>
    <xf numFmtId="1" fontId="2" fillId="3" borderId="14" xfId="0" applyNumberFormat="1" applyFont="1" applyFill="1" applyBorder="1" applyAlignment="1">
      <alignment horizontal="left"/>
    </xf>
    <xf numFmtId="1" fontId="1" fillId="3" borderId="14" xfId="0" applyNumberFormat="1" applyFont="1" applyFill="1" applyBorder="1" applyAlignment="1">
      <alignment horizontal="left"/>
    </xf>
    <xf numFmtId="3" fontId="14" fillId="4" borderId="1" xfId="1" applyNumberFormat="1" applyFont="1" applyFill="1" applyBorder="1" applyAlignment="1">
      <alignment horizontal="left"/>
    </xf>
    <xf numFmtId="1" fontId="17" fillId="4" borderId="1" xfId="0" applyNumberFormat="1" applyFont="1" applyFill="1" applyBorder="1" applyAlignment="1">
      <alignment horizontal="left"/>
    </xf>
    <xf numFmtId="1" fontId="14" fillId="4" borderId="1" xfId="0" applyNumberFormat="1" applyFont="1" applyFill="1" applyBorder="1" applyAlignment="1">
      <alignment horizontal="left"/>
    </xf>
    <xf numFmtId="2" fontId="17" fillId="4" borderId="1" xfId="0" applyNumberFormat="1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7" fillId="0" borderId="15" xfId="0" applyFont="1" applyBorder="1" applyAlignment="1">
      <alignment horizontal="left"/>
    </xf>
    <xf numFmtId="1" fontId="0" fillId="0" borderId="16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7" fillId="0" borderId="19" xfId="0" applyFont="1" applyBorder="1" applyAlignment="1">
      <alignment horizontal="left"/>
    </xf>
    <xf numFmtId="1" fontId="0" fillId="0" borderId="20" xfId="0" applyNumberFormat="1" applyBorder="1" applyAlignment="1">
      <alignment horizontal="left"/>
    </xf>
    <xf numFmtId="0" fontId="17" fillId="0" borderId="21" xfId="0" applyFont="1" applyBorder="1" applyAlignment="1">
      <alignment horizontal="left"/>
    </xf>
    <xf numFmtId="1" fontId="0" fillId="0" borderId="22" xfId="0" applyNumberFormat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" fontId="5" fillId="9" borderId="1" xfId="0" applyNumberFormat="1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2" fontId="6" fillId="9" borderId="1" xfId="0" applyNumberFormat="1" applyFont="1" applyFill="1" applyBorder="1" applyAlignment="1">
      <alignment horizontal="left"/>
    </xf>
    <xf numFmtId="16" fontId="8" fillId="7" borderId="3" xfId="0" applyNumberFormat="1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14" fillId="4" borderId="1" xfId="1" applyFont="1" applyFill="1" applyBorder="1" applyAlignment="1">
      <alignment horizontal="left"/>
    </xf>
    <xf numFmtId="1" fontId="0" fillId="4" borderId="1" xfId="0" applyNumberFormat="1" applyFill="1" applyBorder="1" applyAlignment="1">
      <alignment horizontal="left"/>
    </xf>
    <xf numFmtId="0" fontId="11" fillId="7" borderId="3" xfId="0" applyFont="1" applyFill="1" applyBorder="1"/>
    <xf numFmtId="1" fontId="0" fillId="7" borderId="3" xfId="0" applyNumberFormat="1" applyFont="1" applyFill="1" applyBorder="1" applyAlignment="1">
      <alignment horizontal="center"/>
    </xf>
    <xf numFmtId="1" fontId="11" fillId="7" borderId="3" xfId="0" applyNumberFormat="1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1" fontId="8" fillId="7" borderId="0" xfId="0" applyNumberFormat="1" applyFont="1" applyFill="1" applyAlignment="1">
      <alignment horizontal="left"/>
    </xf>
    <xf numFmtId="0" fontId="8" fillId="7" borderId="0" xfId="0" applyFont="1" applyFill="1" applyAlignment="1">
      <alignment horizontal="left"/>
    </xf>
    <xf numFmtId="16" fontId="8" fillId="7" borderId="0" xfId="0" applyNumberFormat="1" applyFont="1" applyFill="1" applyAlignment="1">
      <alignment horizontal="left"/>
    </xf>
    <xf numFmtId="1" fontId="8" fillId="9" borderId="0" xfId="0" applyNumberFormat="1" applyFont="1" applyFill="1" applyAlignment="1">
      <alignment horizontal="left"/>
    </xf>
    <xf numFmtId="1" fontId="8" fillId="9" borderId="3" xfId="0" applyNumberFormat="1" applyFont="1" applyFill="1" applyBorder="1" applyAlignment="1">
      <alignment horizontal="center"/>
    </xf>
    <xf numFmtId="2" fontId="8" fillId="7" borderId="1" xfId="0" applyNumberFormat="1" applyFont="1" applyFill="1" applyBorder="1" applyAlignment="1">
      <alignment horizontal="left"/>
    </xf>
    <xf numFmtId="0" fontId="8" fillId="7" borderId="4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1" fontId="22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1" fontId="8" fillId="0" borderId="0" xfId="0" applyNumberFormat="1" applyFont="1" applyFill="1" applyAlignment="1">
      <alignment horizontal="left"/>
    </xf>
    <xf numFmtId="1" fontId="0" fillId="0" borderId="3" xfId="0" applyNumberFormat="1" applyFont="1" applyFill="1" applyBorder="1" applyAlignment="1">
      <alignment horizontal="left"/>
    </xf>
    <xf numFmtId="1" fontId="12" fillId="0" borderId="3" xfId="0" applyNumberFormat="1" applyFont="1" applyFill="1" applyBorder="1" applyAlignment="1">
      <alignment horizontal="left"/>
    </xf>
    <xf numFmtId="0" fontId="8" fillId="10" borderId="1" xfId="0" applyFont="1" applyFill="1" applyBorder="1" applyAlignment="1">
      <alignment horizontal="left"/>
    </xf>
    <xf numFmtId="49" fontId="8" fillId="10" borderId="1" xfId="0" applyNumberFormat="1" applyFont="1" applyFill="1" applyBorder="1" applyAlignment="1">
      <alignment horizontal="left"/>
    </xf>
    <xf numFmtId="2" fontId="8" fillId="10" borderId="1" xfId="0" applyNumberFormat="1" applyFont="1" applyFill="1" applyBorder="1" applyAlignment="1">
      <alignment horizontal="left"/>
    </xf>
    <xf numFmtId="1" fontId="8" fillId="10" borderId="1" xfId="0" applyNumberFormat="1" applyFont="1" applyFill="1" applyBorder="1" applyAlignment="1">
      <alignment horizontal="left"/>
    </xf>
    <xf numFmtId="0" fontId="11" fillId="10" borderId="1" xfId="0" applyFont="1" applyFill="1" applyBorder="1" applyAlignment="1">
      <alignment horizontal="left"/>
    </xf>
    <xf numFmtId="2" fontId="8" fillId="10" borderId="3" xfId="0" applyNumberFormat="1" applyFont="1" applyFill="1" applyBorder="1" applyAlignment="1">
      <alignment horizontal="left"/>
    </xf>
    <xf numFmtId="1" fontId="8" fillId="10" borderId="3" xfId="0" applyNumberFormat="1" applyFont="1" applyFill="1" applyBorder="1" applyAlignment="1">
      <alignment horizontal="left"/>
    </xf>
    <xf numFmtId="1" fontId="16" fillId="0" borderId="3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/>
    </xf>
    <xf numFmtId="0" fontId="8" fillId="7" borderId="1" xfId="0" applyFont="1" applyFill="1" applyBorder="1"/>
    <xf numFmtId="3" fontId="14" fillId="4" borderId="27" xfId="1" applyNumberFormat="1" applyFont="1" applyFill="1" applyBorder="1" applyAlignment="1">
      <alignment horizontal="left"/>
    </xf>
    <xf numFmtId="1" fontId="17" fillId="4" borderId="27" xfId="0" applyNumberFormat="1" applyFont="1" applyFill="1" applyBorder="1" applyAlignment="1">
      <alignment horizontal="left"/>
    </xf>
    <xf numFmtId="1" fontId="14" fillId="4" borderId="27" xfId="0" applyNumberFormat="1" applyFont="1" applyFill="1" applyBorder="1" applyAlignment="1">
      <alignment horizontal="left"/>
    </xf>
    <xf numFmtId="3" fontId="1" fillId="3" borderId="28" xfId="1" applyNumberFormat="1" applyFont="1" applyFill="1" applyBorder="1" applyAlignment="1">
      <alignment horizontal="left"/>
    </xf>
    <xf numFmtId="1" fontId="2" fillId="3" borderId="28" xfId="0" applyNumberFormat="1" applyFont="1" applyFill="1" applyBorder="1" applyAlignment="1">
      <alignment horizontal="left"/>
    </xf>
    <xf numFmtId="1" fontId="1" fillId="3" borderId="28" xfId="0" applyNumberFormat="1" applyFont="1" applyFill="1" applyBorder="1" applyAlignment="1">
      <alignment horizontal="left"/>
    </xf>
    <xf numFmtId="2" fontId="2" fillId="3" borderId="28" xfId="0" applyNumberFormat="1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1" fontId="8" fillId="11" borderId="1" xfId="0" applyNumberFormat="1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0" fontId="19" fillId="0" borderId="3" xfId="0" applyFont="1" applyFill="1" applyBorder="1" applyAlignment="1">
      <alignment horizontal="left"/>
    </xf>
    <xf numFmtId="1" fontId="19" fillId="0" borderId="3" xfId="0" applyNumberFormat="1" applyFont="1" applyFill="1" applyBorder="1" applyAlignment="1">
      <alignment horizontal="left"/>
    </xf>
    <xf numFmtId="0" fontId="0" fillId="0" borderId="0" xfId="0" applyFill="1"/>
    <xf numFmtId="0" fontId="8" fillId="7" borderId="3" xfId="0" applyFont="1" applyFill="1" applyBorder="1"/>
    <xf numFmtId="14" fontId="8" fillId="7" borderId="3" xfId="0" applyNumberFormat="1" applyFont="1" applyFill="1" applyBorder="1" applyAlignment="1">
      <alignment horizontal="left"/>
    </xf>
    <xf numFmtId="1" fontId="12" fillId="7" borderId="3" xfId="0" applyNumberFormat="1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center"/>
    </xf>
    <xf numFmtId="16" fontId="16" fillId="7" borderId="3" xfId="0" applyNumberFormat="1" applyFont="1" applyFill="1" applyBorder="1" applyAlignment="1">
      <alignment horizontal="center"/>
    </xf>
    <xf numFmtId="0" fontId="23" fillId="0" borderId="0" xfId="0" applyFont="1"/>
    <xf numFmtId="16" fontId="8" fillId="7" borderId="3" xfId="0" applyNumberFormat="1" applyFont="1" applyFill="1" applyBorder="1"/>
    <xf numFmtId="0" fontId="8" fillId="12" borderId="3" xfId="0" applyFont="1" applyFill="1" applyBorder="1" applyAlignment="1">
      <alignment horizontal="left"/>
    </xf>
    <xf numFmtId="0" fontId="8" fillId="12" borderId="3" xfId="0" applyFont="1" applyFill="1" applyBorder="1" applyAlignment="1">
      <alignment horizontal="left" wrapText="1"/>
    </xf>
    <xf numFmtId="2" fontId="8" fillId="12" borderId="3" xfId="0" applyNumberFormat="1" applyFont="1" applyFill="1" applyBorder="1" applyAlignment="1">
      <alignment horizontal="left"/>
    </xf>
    <xf numFmtId="1" fontId="8" fillId="12" borderId="3" xfId="0" applyNumberFormat="1" applyFont="1" applyFill="1" applyBorder="1" applyAlignment="1">
      <alignment horizontal="left"/>
    </xf>
    <xf numFmtId="16" fontId="8" fillId="12" borderId="3" xfId="0" applyNumberFormat="1" applyFont="1" applyFill="1" applyBorder="1"/>
    <xf numFmtId="16" fontId="8" fillId="12" borderId="3" xfId="0" applyNumberFormat="1" applyFont="1" applyFill="1" applyBorder="1" applyAlignment="1">
      <alignment horizontal="left"/>
    </xf>
    <xf numFmtId="1" fontId="8" fillId="12" borderId="1" xfId="0" applyNumberFormat="1" applyFont="1" applyFill="1" applyBorder="1" applyAlignment="1">
      <alignment horizontal="left"/>
    </xf>
    <xf numFmtId="0" fontId="12" fillId="7" borderId="3" xfId="0" applyFont="1" applyFill="1" applyBorder="1" applyAlignment="1">
      <alignment horizontal="left"/>
    </xf>
    <xf numFmtId="1" fontId="11" fillId="0" borderId="29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25" fillId="0" borderId="1" xfId="0" applyFont="1" applyBorder="1" applyAlignment="1">
      <alignment horizontal="right" vertical="center"/>
    </xf>
    <xf numFmtId="0" fontId="8" fillId="0" borderId="1" xfId="0" applyFont="1" applyFill="1" applyBorder="1" applyAlignment="1">
      <alignment horizontal="left" wrapText="1"/>
    </xf>
    <xf numFmtId="0" fontId="8" fillId="13" borderId="3" xfId="0" applyFont="1" applyFill="1" applyBorder="1" applyAlignment="1">
      <alignment horizontal="left"/>
    </xf>
    <xf numFmtId="0" fontId="8" fillId="13" borderId="3" xfId="0" applyFont="1" applyFill="1" applyBorder="1" applyAlignment="1">
      <alignment horizontal="left" wrapText="1"/>
    </xf>
    <xf numFmtId="2" fontId="8" fillId="13" borderId="3" xfId="0" applyNumberFormat="1" applyFont="1" applyFill="1" applyBorder="1" applyAlignment="1">
      <alignment horizontal="left"/>
    </xf>
    <xf numFmtId="1" fontId="8" fillId="13" borderId="1" xfId="0" applyNumberFormat="1" applyFont="1" applyFill="1" applyBorder="1" applyAlignment="1">
      <alignment horizontal="left"/>
    </xf>
    <xf numFmtId="1" fontId="8" fillId="13" borderId="3" xfId="0" applyNumberFormat="1" applyFont="1" applyFill="1" applyBorder="1" applyAlignment="1">
      <alignment horizontal="left"/>
    </xf>
    <xf numFmtId="0" fontId="8" fillId="13" borderId="1" xfId="0" applyFont="1" applyFill="1" applyBorder="1" applyAlignment="1">
      <alignment horizontal="left"/>
    </xf>
    <xf numFmtId="14" fontId="8" fillId="7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left"/>
    </xf>
    <xf numFmtId="0" fontId="23" fillId="0" borderId="23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6" fillId="14" borderId="0" xfId="0" applyFont="1" applyFill="1" applyAlignment="1">
      <alignment horizontal="center"/>
    </xf>
    <xf numFmtId="0" fontId="9" fillId="2" borderId="5" xfId="1" applyFont="1" applyFill="1" applyBorder="1" applyAlignment="1">
      <alignment horizontal="left"/>
    </xf>
    <xf numFmtId="0" fontId="9" fillId="2" borderId="6" xfId="1" applyFont="1" applyFill="1" applyBorder="1" applyAlignment="1">
      <alignment horizontal="left"/>
    </xf>
    <xf numFmtId="0" fontId="9" fillId="2" borderId="7" xfId="1" applyFont="1" applyFill="1" applyBorder="1" applyAlignment="1">
      <alignment horizontal="left"/>
    </xf>
    <xf numFmtId="0" fontId="11" fillId="7" borderId="4" xfId="0" applyFont="1" applyFill="1" applyBorder="1" applyAlignment="1">
      <alignment horizontal="left" vertical="center"/>
    </xf>
    <xf numFmtId="0" fontId="11" fillId="7" borderId="26" xfId="0" applyFont="1" applyFill="1" applyBorder="1" applyAlignment="1">
      <alignment horizontal="left" vertical="center"/>
    </xf>
    <xf numFmtId="0" fontId="11" fillId="7" borderId="27" xfId="0" applyFont="1" applyFill="1" applyBorder="1" applyAlignment="1">
      <alignment horizontal="left" vertical="center"/>
    </xf>
    <xf numFmtId="0" fontId="9" fillId="2" borderId="5" xfId="1" applyFont="1" applyFill="1" applyBorder="1" applyAlignment="1">
      <alignment horizontal="center"/>
    </xf>
    <xf numFmtId="0" fontId="9" fillId="2" borderId="7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00"/>
      <color rgb="FF00FF00"/>
      <color rgb="FFFFFF00"/>
      <color rgb="FF00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322"/>
  <sheetViews>
    <sheetView workbookViewId="0">
      <pane ySplit="2" topLeftCell="A313" activePane="bottomLeft" state="frozen"/>
      <selection pane="bottomLeft" activeCell="A327" sqref="A327"/>
    </sheetView>
  </sheetViews>
  <sheetFormatPr defaultColWidth="9.140625" defaultRowHeight="12.75" x14ac:dyDescent="0.2"/>
  <cols>
    <col min="1" max="1" width="14.5703125" style="187" bestFit="1" customWidth="1"/>
    <col min="2" max="2" width="12.5703125" style="201" bestFit="1" customWidth="1"/>
    <col min="3" max="3" width="27" style="187" bestFit="1" customWidth="1"/>
    <col min="4" max="4" width="50.7109375" style="187" bestFit="1" customWidth="1"/>
    <col min="5" max="5" width="13.7109375" style="190" bestFit="1" customWidth="1"/>
    <col min="6" max="6" width="12.28515625" style="190" bestFit="1" customWidth="1"/>
    <col min="7" max="7" width="11.42578125" style="190" bestFit="1" customWidth="1"/>
    <col min="8" max="8" width="9.28515625" style="190" bestFit="1" customWidth="1"/>
    <col min="9" max="9" width="15.5703125" style="190" bestFit="1" customWidth="1"/>
    <col min="10" max="16384" width="9.140625" style="187"/>
  </cols>
  <sheetData>
    <row r="1" spans="1:11" x14ac:dyDescent="0.2">
      <c r="A1" s="184" t="s">
        <v>23</v>
      </c>
      <c r="B1" s="185" t="s">
        <v>326</v>
      </c>
      <c r="C1" s="184" t="s">
        <v>327</v>
      </c>
      <c r="D1" s="184" t="s">
        <v>27</v>
      </c>
      <c r="E1" s="186" t="s">
        <v>28</v>
      </c>
      <c r="F1" s="186" t="s">
        <v>29</v>
      </c>
      <c r="G1" s="186" t="s">
        <v>30</v>
      </c>
      <c r="H1" s="186" t="s">
        <v>33</v>
      </c>
      <c r="I1" s="186" t="s">
        <v>20</v>
      </c>
    </row>
    <row r="2" spans="1:11" ht="18.75" customHeight="1" x14ac:dyDescent="0.25">
      <c r="A2" s="184"/>
      <c r="B2" s="185"/>
      <c r="C2" s="184"/>
      <c r="D2" s="184"/>
      <c r="E2" s="188">
        <f>SUM(E3:E384)</f>
        <v>28008160.519599982</v>
      </c>
      <c r="F2" s="188">
        <f>SUM(F3:F384)</f>
        <v>24411649.024999999</v>
      </c>
      <c r="G2" s="188">
        <f>SUM(G3:G384)</f>
        <v>3596511.4946000003</v>
      </c>
      <c r="H2" s="188">
        <f>SUM(H3:H384)</f>
        <v>483341.54049999989</v>
      </c>
      <c r="I2" s="188">
        <f>SUM(I3:I384)</f>
        <v>27524818.979100008</v>
      </c>
    </row>
    <row r="3" spans="1:11" x14ac:dyDescent="0.2">
      <c r="A3" s="78"/>
      <c r="B3" s="189"/>
      <c r="C3" s="17"/>
      <c r="D3" s="17"/>
      <c r="E3" s="44"/>
      <c r="F3" s="44"/>
      <c r="G3" s="44"/>
      <c r="H3" s="44"/>
      <c r="I3" s="44"/>
      <c r="K3" s="190"/>
    </row>
    <row r="4" spans="1:11" x14ac:dyDescent="0.2">
      <c r="A4" s="78" t="s">
        <v>40</v>
      </c>
      <c r="B4" s="189" t="s">
        <v>328</v>
      </c>
      <c r="C4" s="17" t="s">
        <v>3</v>
      </c>
      <c r="D4" s="15" t="s">
        <v>42</v>
      </c>
      <c r="E4" s="16">
        <f>F4+G4</f>
        <v>984508.78500000003</v>
      </c>
      <c r="F4" s="16">
        <v>859833</v>
      </c>
      <c r="G4" s="16">
        <f>F4*14.5%</f>
        <v>124675.78499999999</v>
      </c>
      <c r="H4" s="44">
        <f>F4*2%</f>
        <v>17196.66</v>
      </c>
      <c r="I4" s="44">
        <f>E4-H4</f>
        <v>967312.125</v>
      </c>
    </row>
    <row r="5" spans="1:11" x14ac:dyDescent="0.2">
      <c r="A5" s="78" t="s">
        <v>119</v>
      </c>
      <c r="B5" s="189" t="s">
        <v>329</v>
      </c>
      <c r="C5" s="17" t="s">
        <v>330</v>
      </c>
      <c r="D5" s="69" t="s">
        <v>120</v>
      </c>
      <c r="E5" s="16">
        <f t="shared" ref="E5:E66" si="0">F5+G5</f>
        <v>85296.774999999994</v>
      </c>
      <c r="F5" s="22">
        <v>74495</v>
      </c>
      <c r="G5" s="16">
        <f>F5*14.5%</f>
        <v>10801.775</v>
      </c>
      <c r="H5" s="44">
        <f t="shared" ref="H5:H66" si="1">F5*2%</f>
        <v>1489.9</v>
      </c>
      <c r="I5" s="44">
        <f t="shared" ref="I5:I66" si="2">E5-H5</f>
        <v>83806.875</v>
      </c>
    </row>
    <row r="6" spans="1:11" x14ac:dyDescent="0.2">
      <c r="A6" s="78" t="s">
        <v>331</v>
      </c>
      <c r="B6" s="189" t="s">
        <v>332</v>
      </c>
      <c r="C6" s="17" t="s">
        <v>330</v>
      </c>
      <c r="D6" s="69" t="s">
        <v>125</v>
      </c>
      <c r="E6" s="16">
        <f t="shared" si="0"/>
        <v>4024.6750000000002</v>
      </c>
      <c r="F6" s="22">
        <v>3515</v>
      </c>
      <c r="G6" s="16">
        <f t="shared" ref="G6" si="3">F6*14.5%</f>
        <v>509.67499999999995</v>
      </c>
      <c r="H6" s="44">
        <f t="shared" si="1"/>
        <v>70.3</v>
      </c>
      <c r="I6" s="44">
        <f t="shared" si="2"/>
        <v>3954.375</v>
      </c>
      <c r="K6" s="190"/>
    </row>
    <row r="7" spans="1:11" x14ac:dyDescent="0.2">
      <c r="A7" s="17" t="s">
        <v>58</v>
      </c>
      <c r="B7" s="189" t="s">
        <v>333</v>
      </c>
      <c r="C7" s="17" t="s">
        <v>334</v>
      </c>
      <c r="D7" s="17" t="s">
        <v>62</v>
      </c>
      <c r="E7" s="16">
        <f t="shared" si="0"/>
        <v>44082.5</v>
      </c>
      <c r="F7" s="22">
        <v>38500</v>
      </c>
      <c r="G7" s="22">
        <f>F7*14.5%</f>
        <v>5582.5</v>
      </c>
      <c r="H7" s="44">
        <f t="shared" si="1"/>
        <v>770</v>
      </c>
      <c r="I7" s="44">
        <f t="shared" si="2"/>
        <v>43312.5</v>
      </c>
    </row>
    <row r="8" spans="1:11" x14ac:dyDescent="0.2">
      <c r="A8" s="17" t="s">
        <v>138</v>
      </c>
      <c r="B8" s="189" t="s">
        <v>329</v>
      </c>
      <c r="C8" s="17" t="s">
        <v>335</v>
      </c>
      <c r="D8" s="86" t="s">
        <v>175</v>
      </c>
      <c r="E8" s="16">
        <f t="shared" si="0"/>
        <v>25762.5</v>
      </c>
      <c r="F8" s="44">
        <f>500000/1000*45</f>
        <v>22500</v>
      </c>
      <c r="G8" s="44">
        <f>F8*14.5%</f>
        <v>3262.5</v>
      </c>
      <c r="H8" s="44">
        <f t="shared" si="1"/>
        <v>450</v>
      </c>
      <c r="I8" s="44">
        <f t="shared" si="2"/>
        <v>25312.5</v>
      </c>
    </row>
    <row r="9" spans="1:11" x14ac:dyDescent="0.2">
      <c r="A9" s="17" t="s">
        <v>138</v>
      </c>
      <c r="B9" s="189" t="s">
        <v>332</v>
      </c>
      <c r="C9" s="17" t="s">
        <v>335</v>
      </c>
      <c r="D9" s="86" t="s">
        <v>177</v>
      </c>
      <c r="E9" s="16">
        <f t="shared" si="0"/>
        <v>48948.75</v>
      </c>
      <c r="F9" s="44">
        <f>950000/1000*45</f>
        <v>42750</v>
      </c>
      <c r="G9" s="44">
        <f t="shared" ref="G9:G17" si="4">F9*14.5%</f>
        <v>6198.75</v>
      </c>
      <c r="H9" s="44">
        <f t="shared" si="1"/>
        <v>855</v>
      </c>
      <c r="I9" s="44">
        <f t="shared" si="2"/>
        <v>48093.75</v>
      </c>
    </row>
    <row r="10" spans="1:11" x14ac:dyDescent="0.2">
      <c r="A10" s="17" t="s">
        <v>138</v>
      </c>
      <c r="B10" s="189" t="s">
        <v>336</v>
      </c>
      <c r="C10" s="17" t="s">
        <v>335</v>
      </c>
      <c r="D10" s="86" t="s">
        <v>179</v>
      </c>
      <c r="E10" s="16">
        <f t="shared" si="0"/>
        <v>5741.6368499999999</v>
      </c>
      <c r="F10" s="44">
        <f>111434/1000*45</f>
        <v>5014.53</v>
      </c>
      <c r="G10" s="44">
        <f t="shared" si="4"/>
        <v>727.10684999999989</v>
      </c>
      <c r="H10" s="44">
        <f t="shared" si="1"/>
        <v>100.2906</v>
      </c>
      <c r="I10" s="44">
        <f t="shared" si="2"/>
        <v>5641.3462499999996</v>
      </c>
    </row>
    <row r="11" spans="1:11" x14ac:dyDescent="0.2">
      <c r="A11" s="17" t="s">
        <v>138</v>
      </c>
      <c r="B11" s="189" t="s">
        <v>336</v>
      </c>
      <c r="C11" s="17" t="s">
        <v>335</v>
      </c>
      <c r="D11" s="86" t="s">
        <v>181</v>
      </c>
      <c r="E11" s="16">
        <f t="shared" si="0"/>
        <v>16075.8</v>
      </c>
      <c r="F11" s="44">
        <f>312000/1000*45</f>
        <v>14040</v>
      </c>
      <c r="G11" s="44">
        <f t="shared" si="4"/>
        <v>2035.8</v>
      </c>
      <c r="H11" s="44">
        <f t="shared" si="1"/>
        <v>280.8</v>
      </c>
      <c r="I11" s="44">
        <f t="shared" si="2"/>
        <v>15795</v>
      </c>
    </row>
    <row r="12" spans="1:11" x14ac:dyDescent="0.2">
      <c r="A12" s="17" t="s">
        <v>138</v>
      </c>
      <c r="B12" s="189" t="s">
        <v>336</v>
      </c>
      <c r="C12" s="17" t="s">
        <v>335</v>
      </c>
      <c r="D12" s="86" t="s">
        <v>183</v>
      </c>
      <c r="E12" s="16">
        <f t="shared" si="0"/>
        <v>33956.263124999998</v>
      </c>
      <c r="F12" s="44">
        <f>SUM(500000+159025)/1000*45</f>
        <v>29656.125</v>
      </c>
      <c r="G12" s="44">
        <f t="shared" si="4"/>
        <v>4300.1381249999995</v>
      </c>
      <c r="H12" s="44">
        <f t="shared" si="1"/>
        <v>593.12250000000006</v>
      </c>
      <c r="I12" s="44">
        <f t="shared" si="2"/>
        <v>33363.140625</v>
      </c>
    </row>
    <row r="13" spans="1:11" x14ac:dyDescent="0.2">
      <c r="A13" s="17" t="s">
        <v>184</v>
      </c>
      <c r="B13" s="189" t="s">
        <v>333</v>
      </c>
      <c r="C13" s="17" t="s">
        <v>335</v>
      </c>
      <c r="D13" s="86" t="s">
        <v>186</v>
      </c>
      <c r="E13" s="16">
        <f t="shared" si="0"/>
        <v>43967.982824999999</v>
      </c>
      <c r="F13" s="44">
        <f>853333/1000*45</f>
        <v>38399.985000000001</v>
      </c>
      <c r="G13" s="44">
        <f t="shared" si="4"/>
        <v>5567.9978249999995</v>
      </c>
      <c r="H13" s="44">
        <f t="shared" si="1"/>
        <v>767.99970000000008</v>
      </c>
      <c r="I13" s="44">
        <f t="shared" si="2"/>
        <v>43199.983124999999</v>
      </c>
    </row>
    <row r="14" spans="1:11" x14ac:dyDescent="0.2">
      <c r="A14" s="17" t="s">
        <v>119</v>
      </c>
      <c r="B14" s="189" t="s">
        <v>333</v>
      </c>
      <c r="C14" s="17" t="s">
        <v>335</v>
      </c>
      <c r="D14" s="86" t="s">
        <v>188</v>
      </c>
      <c r="E14" s="16">
        <f t="shared" si="0"/>
        <v>38069.658450000003</v>
      </c>
      <c r="F14" s="44">
        <f>738858/1000*45</f>
        <v>33248.61</v>
      </c>
      <c r="G14" s="44">
        <f t="shared" si="4"/>
        <v>4821.0484499999993</v>
      </c>
      <c r="H14" s="44">
        <f t="shared" si="1"/>
        <v>664.97220000000004</v>
      </c>
      <c r="I14" s="44">
        <f t="shared" si="2"/>
        <v>37404.686250000006</v>
      </c>
    </row>
    <row r="15" spans="1:11" x14ac:dyDescent="0.2">
      <c r="A15" s="17" t="s">
        <v>184</v>
      </c>
      <c r="B15" s="189" t="s">
        <v>333</v>
      </c>
      <c r="C15" s="17" t="s">
        <v>335</v>
      </c>
      <c r="D15" s="86" t="s">
        <v>190</v>
      </c>
      <c r="E15" s="16">
        <f t="shared" si="0"/>
        <v>283387.5</v>
      </c>
      <c r="F15" s="44">
        <f>5500000/1000*45</f>
        <v>247500</v>
      </c>
      <c r="G15" s="44">
        <f t="shared" si="4"/>
        <v>35887.5</v>
      </c>
      <c r="H15" s="44">
        <f t="shared" si="1"/>
        <v>4950</v>
      </c>
      <c r="I15" s="44">
        <f t="shared" si="2"/>
        <v>278437.5</v>
      </c>
    </row>
    <row r="16" spans="1:11" x14ac:dyDescent="0.2">
      <c r="A16" s="17" t="s">
        <v>191</v>
      </c>
      <c r="B16" s="189" t="s">
        <v>333</v>
      </c>
      <c r="C16" s="17" t="s">
        <v>335</v>
      </c>
      <c r="D16" s="17" t="s">
        <v>193</v>
      </c>
      <c r="E16" s="16">
        <f t="shared" si="0"/>
        <v>8587.5</v>
      </c>
      <c r="F16" s="44">
        <f>1500*5</f>
        <v>7500</v>
      </c>
      <c r="G16" s="44">
        <f t="shared" si="4"/>
        <v>1087.5</v>
      </c>
      <c r="H16" s="44">
        <f t="shared" si="1"/>
        <v>150</v>
      </c>
      <c r="I16" s="44">
        <f t="shared" si="2"/>
        <v>8437.5</v>
      </c>
    </row>
    <row r="17" spans="1:9" x14ac:dyDescent="0.2">
      <c r="A17" s="17" t="s">
        <v>119</v>
      </c>
      <c r="B17" s="189" t="s">
        <v>333</v>
      </c>
      <c r="C17" s="17" t="s">
        <v>335</v>
      </c>
      <c r="D17" s="17" t="s">
        <v>195</v>
      </c>
      <c r="E17" s="16">
        <f t="shared" si="0"/>
        <v>1717.5</v>
      </c>
      <c r="F17" s="44">
        <f>300*5</f>
        <v>1500</v>
      </c>
      <c r="G17" s="44">
        <f t="shared" si="4"/>
        <v>217.49999999999997</v>
      </c>
      <c r="H17" s="44">
        <f t="shared" si="1"/>
        <v>30</v>
      </c>
      <c r="I17" s="44">
        <f t="shared" si="2"/>
        <v>1687.5</v>
      </c>
    </row>
    <row r="18" spans="1:9" x14ac:dyDescent="0.2">
      <c r="A18" s="17" t="s">
        <v>53</v>
      </c>
      <c r="B18" s="189" t="s">
        <v>332</v>
      </c>
      <c r="C18" s="17" t="s">
        <v>337</v>
      </c>
      <c r="D18" s="20" t="s">
        <v>54</v>
      </c>
      <c r="E18" s="16">
        <f t="shared" si="0"/>
        <v>1341438.49</v>
      </c>
      <c r="F18" s="22">
        <v>1171562</v>
      </c>
      <c r="G18" s="22">
        <f>F18*14.5%</f>
        <v>169876.49</v>
      </c>
      <c r="H18" s="44">
        <f t="shared" si="1"/>
        <v>23431.24</v>
      </c>
      <c r="I18" s="44">
        <f t="shared" si="2"/>
        <v>1318007.25</v>
      </c>
    </row>
    <row r="19" spans="1:9" x14ac:dyDescent="0.2">
      <c r="A19" s="17" t="s">
        <v>53</v>
      </c>
      <c r="B19" s="189" t="s">
        <v>333</v>
      </c>
      <c r="C19" s="17" t="s">
        <v>335</v>
      </c>
      <c r="D19" s="86" t="s">
        <v>197</v>
      </c>
      <c r="E19" s="16">
        <f t="shared" si="0"/>
        <v>199758.5091</v>
      </c>
      <c r="F19" s="44">
        <f>3876924/1000*45</f>
        <v>174461.58</v>
      </c>
      <c r="G19" s="44">
        <f t="shared" ref="G19" si="5">F19*14.5%</f>
        <v>25296.929099999998</v>
      </c>
      <c r="H19" s="44">
        <f t="shared" si="1"/>
        <v>3489.2315999999996</v>
      </c>
      <c r="I19" s="44">
        <f t="shared" si="2"/>
        <v>196269.2775</v>
      </c>
    </row>
    <row r="20" spans="1:9" x14ac:dyDescent="0.2">
      <c r="A20" s="17" t="s">
        <v>138</v>
      </c>
      <c r="B20" s="189" t="s">
        <v>328</v>
      </c>
      <c r="C20" s="17" t="s">
        <v>338</v>
      </c>
      <c r="D20" s="44" t="s">
        <v>140</v>
      </c>
      <c r="E20" s="16">
        <f t="shared" si="0"/>
        <v>174326.25</v>
      </c>
      <c r="F20" s="44">
        <f>1450000/1000*105</f>
        <v>152250</v>
      </c>
      <c r="G20" s="22">
        <f>F20*14.5%</f>
        <v>22076.25</v>
      </c>
      <c r="H20" s="44">
        <f t="shared" si="1"/>
        <v>3045</v>
      </c>
      <c r="I20" s="44">
        <f t="shared" si="2"/>
        <v>171281.25</v>
      </c>
    </row>
    <row r="21" spans="1:9" x14ac:dyDescent="0.2">
      <c r="A21" s="17" t="s">
        <v>138</v>
      </c>
      <c r="B21" s="189" t="s">
        <v>336</v>
      </c>
      <c r="C21" s="17" t="s">
        <v>9</v>
      </c>
      <c r="D21" s="96" t="s">
        <v>247</v>
      </c>
      <c r="E21" s="16">
        <f t="shared" si="0"/>
        <v>15223.92</v>
      </c>
      <c r="F21" s="16">
        <v>13296</v>
      </c>
      <c r="G21" s="44">
        <f>F21*14.5%</f>
        <v>1927.9199999999998</v>
      </c>
      <c r="H21" s="44">
        <f t="shared" si="1"/>
        <v>265.92</v>
      </c>
      <c r="I21" s="44">
        <f t="shared" si="2"/>
        <v>14958</v>
      </c>
    </row>
    <row r="22" spans="1:9" x14ac:dyDescent="0.2">
      <c r="A22" s="17" t="s">
        <v>184</v>
      </c>
      <c r="B22" s="189" t="s">
        <v>332</v>
      </c>
      <c r="C22" s="17" t="s">
        <v>9</v>
      </c>
      <c r="D22" s="96" t="s">
        <v>250</v>
      </c>
      <c r="E22" s="16">
        <f t="shared" si="0"/>
        <v>135973.32999999999</v>
      </c>
      <c r="F22" s="16">
        <v>118754</v>
      </c>
      <c r="G22" s="44">
        <f t="shared" ref="G22:G25" si="6">F22*14.5%</f>
        <v>17219.329999999998</v>
      </c>
      <c r="H22" s="44">
        <f t="shared" si="1"/>
        <v>2375.08</v>
      </c>
      <c r="I22" s="44">
        <f t="shared" si="2"/>
        <v>133598.25</v>
      </c>
    </row>
    <row r="23" spans="1:9" x14ac:dyDescent="0.2">
      <c r="A23" s="78" t="s">
        <v>46</v>
      </c>
      <c r="B23" s="189" t="s">
        <v>332</v>
      </c>
      <c r="C23" s="17" t="s">
        <v>330</v>
      </c>
      <c r="D23" s="69" t="s">
        <v>127</v>
      </c>
      <c r="E23" s="16">
        <f t="shared" si="0"/>
        <v>91628.625</v>
      </c>
      <c r="F23" s="22">
        <v>80025</v>
      </c>
      <c r="G23" s="16">
        <f t="shared" si="6"/>
        <v>11603.625</v>
      </c>
      <c r="H23" s="44">
        <f t="shared" si="1"/>
        <v>1600.5</v>
      </c>
      <c r="I23" s="44">
        <f t="shared" si="2"/>
        <v>90028.125</v>
      </c>
    </row>
    <row r="24" spans="1:9" x14ac:dyDescent="0.2">
      <c r="A24" s="78" t="s">
        <v>46</v>
      </c>
      <c r="B24" s="189" t="s">
        <v>329</v>
      </c>
      <c r="C24" s="17" t="s">
        <v>3</v>
      </c>
      <c r="D24" s="15" t="s">
        <v>47</v>
      </c>
      <c r="E24" s="16">
        <f t="shared" si="0"/>
        <v>119189.92</v>
      </c>
      <c r="F24" s="16">
        <v>104096</v>
      </c>
      <c r="G24" s="16">
        <f t="shared" si="6"/>
        <v>15093.919999999998</v>
      </c>
      <c r="H24" s="44">
        <f t="shared" si="1"/>
        <v>2081.92</v>
      </c>
      <c r="I24" s="44">
        <f t="shared" si="2"/>
        <v>117108</v>
      </c>
    </row>
    <row r="25" spans="1:9" x14ac:dyDescent="0.2">
      <c r="A25" s="78" t="s">
        <v>46</v>
      </c>
      <c r="B25" s="189" t="s">
        <v>332</v>
      </c>
      <c r="C25" s="17" t="s">
        <v>3</v>
      </c>
      <c r="D25" s="15" t="s">
        <v>49</v>
      </c>
      <c r="E25" s="16">
        <f t="shared" si="0"/>
        <v>426565.17</v>
      </c>
      <c r="F25" s="16">
        <v>372546</v>
      </c>
      <c r="G25" s="16">
        <f t="shared" si="6"/>
        <v>54019.17</v>
      </c>
      <c r="H25" s="44">
        <f t="shared" si="1"/>
        <v>7450.92</v>
      </c>
      <c r="I25" s="44">
        <f t="shared" si="2"/>
        <v>419114.25</v>
      </c>
    </row>
    <row r="26" spans="1:9" x14ac:dyDescent="0.2">
      <c r="A26" s="78" t="s">
        <v>46</v>
      </c>
      <c r="B26" s="189" t="s">
        <v>332</v>
      </c>
      <c r="C26" s="17" t="s">
        <v>339</v>
      </c>
      <c r="D26" s="69" t="s">
        <v>292</v>
      </c>
      <c r="E26" s="16">
        <f t="shared" si="0"/>
        <v>1522.85</v>
      </c>
      <c r="F26" s="22">
        <v>1330</v>
      </c>
      <c r="G26" s="44">
        <f>F26*14.5%</f>
        <v>192.85</v>
      </c>
      <c r="H26" s="44">
        <f t="shared" si="1"/>
        <v>26.6</v>
      </c>
      <c r="I26" s="44">
        <f t="shared" si="2"/>
        <v>1496.25</v>
      </c>
    </row>
    <row r="27" spans="1:9" x14ac:dyDescent="0.2">
      <c r="A27" s="78" t="s">
        <v>46</v>
      </c>
      <c r="B27" s="189" t="s">
        <v>336</v>
      </c>
      <c r="C27" s="17" t="s">
        <v>339</v>
      </c>
      <c r="D27" s="69" t="s">
        <v>294</v>
      </c>
      <c r="E27" s="16">
        <f t="shared" si="0"/>
        <v>23186.25</v>
      </c>
      <c r="F27" s="22">
        <v>20250</v>
      </c>
      <c r="G27" s="44">
        <f>F27*14.5%</f>
        <v>2936.25</v>
      </c>
      <c r="H27" s="44">
        <f t="shared" si="1"/>
        <v>405</v>
      </c>
      <c r="I27" s="44">
        <f t="shared" si="2"/>
        <v>22781.25</v>
      </c>
    </row>
    <row r="28" spans="1:9" x14ac:dyDescent="0.2">
      <c r="A28" s="78" t="s">
        <v>46</v>
      </c>
      <c r="B28" s="189" t="s">
        <v>336</v>
      </c>
      <c r="C28" s="17" t="s">
        <v>330</v>
      </c>
      <c r="D28" s="69" t="s">
        <v>129</v>
      </c>
      <c r="E28" s="16">
        <f t="shared" si="0"/>
        <v>413608.35</v>
      </c>
      <c r="F28" s="22">
        <v>361230</v>
      </c>
      <c r="G28" s="16">
        <f t="shared" ref="G28:G35" si="7">F28*14.5%</f>
        <v>52378.35</v>
      </c>
      <c r="H28" s="44">
        <f t="shared" si="1"/>
        <v>7224.6</v>
      </c>
      <c r="I28" s="44">
        <f t="shared" si="2"/>
        <v>406383.75</v>
      </c>
    </row>
    <row r="29" spans="1:9" x14ac:dyDescent="0.2">
      <c r="A29" s="17" t="s">
        <v>141</v>
      </c>
      <c r="B29" s="189" t="s">
        <v>333</v>
      </c>
      <c r="C29" s="17" t="s">
        <v>335</v>
      </c>
      <c r="D29" s="86" t="s">
        <v>199</v>
      </c>
      <c r="E29" s="16">
        <f t="shared" si="0"/>
        <v>25762.5</v>
      </c>
      <c r="F29" s="44">
        <v>22500</v>
      </c>
      <c r="G29" s="44">
        <f t="shared" si="7"/>
        <v>3262.5</v>
      </c>
      <c r="H29" s="44">
        <f t="shared" si="1"/>
        <v>450</v>
      </c>
      <c r="I29" s="44">
        <f t="shared" si="2"/>
        <v>25312.5</v>
      </c>
    </row>
    <row r="30" spans="1:9" x14ac:dyDescent="0.2">
      <c r="A30" s="17" t="s">
        <v>141</v>
      </c>
      <c r="B30" s="189" t="s">
        <v>333</v>
      </c>
      <c r="C30" s="17" t="s">
        <v>335</v>
      </c>
      <c r="D30" s="86" t="s">
        <v>201</v>
      </c>
      <c r="E30" s="16">
        <f t="shared" si="0"/>
        <v>77287.5</v>
      </c>
      <c r="F30" s="44">
        <v>67500</v>
      </c>
      <c r="G30" s="44">
        <f t="shared" si="7"/>
        <v>9787.5</v>
      </c>
      <c r="H30" s="44">
        <f t="shared" si="1"/>
        <v>1350</v>
      </c>
      <c r="I30" s="44">
        <f t="shared" si="2"/>
        <v>75937.5</v>
      </c>
    </row>
    <row r="31" spans="1:9" x14ac:dyDescent="0.2">
      <c r="A31" s="17" t="s">
        <v>74</v>
      </c>
      <c r="B31" s="189" t="s">
        <v>336</v>
      </c>
      <c r="C31" s="17" t="s">
        <v>330</v>
      </c>
      <c r="D31" s="69" t="s">
        <v>131</v>
      </c>
      <c r="E31" s="16">
        <f t="shared" si="0"/>
        <v>8123.7749999999996</v>
      </c>
      <c r="F31" s="22">
        <v>7095</v>
      </c>
      <c r="G31" s="16">
        <f t="shared" si="7"/>
        <v>1028.7749999999999</v>
      </c>
      <c r="H31" s="44">
        <f t="shared" si="1"/>
        <v>141.9</v>
      </c>
      <c r="I31" s="44">
        <f t="shared" si="2"/>
        <v>7981.875</v>
      </c>
    </row>
    <row r="32" spans="1:9" x14ac:dyDescent="0.2">
      <c r="A32" s="17" t="s">
        <v>252</v>
      </c>
      <c r="B32" s="189" t="s">
        <v>333</v>
      </c>
      <c r="C32" s="17" t="s">
        <v>9</v>
      </c>
      <c r="D32" s="96" t="s">
        <v>253</v>
      </c>
      <c r="E32" s="16">
        <f t="shared" si="0"/>
        <v>17573.46</v>
      </c>
      <c r="F32" s="16">
        <v>15348</v>
      </c>
      <c r="G32" s="44">
        <f t="shared" si="7"/>
        <v>2225.46</v>
      </c>
      <c r="H32" s="44">
        <f t="shared" si="1"/>
        <v>306.95999999999998</v>
      </c>
      <c r="I32" s="44">
        <f t="shared" si="2"/>
        <v>17266.5</v>
      </c>
    </row>
    <row r="33" spans="1:9" x14ac:dyDescent="0.2">
      <c r="A33" s="17" t="s">
        <v>141</v>
      </c>
      <c r="B33" s="189" t="s">
        <v>333</v>
      </c>
      <c r="C33" s="17" t="s">
        <v>338</v>
      </c>
      <c r="D33" s="44" t="s">
        <v>143</v>
      </c>
      <c r="E33" s="16">
        <f t="shared" si="0"/>
        <v>109920</v>
      </c>
      <c r="F33" s="44">
        <v>96000</v>
      </c>
      <c r="G33" s="22">
        <f t="shared" si="7"/>
        <v>13919.999999999998</v>
      </c>
      <c r="H33" s="44">
        <f t="shared" si="1"/>
        <v>1920</v>
      </c>
      <c r="I33" s="44">
        <f t="shared" si="2"/>
        <v>108000</v>
      </c>
    </row>
    <row r="34" spans="1:9" x14ac:dyDescent="0.2">
      <c r="A34" s="17" t="s">
        <v>144</v>
      </c>
      <c r="B34" s="189" t="s">
        <v>340</v>
      </c>
      <c r="C34" s="17" t="s">
        <v>338</v>
      </c>
      <c r="D34" s="44" t="s">
        <v>145</v>
      </c>
      <c r="E34" s="16">
        <f t="shared" si="0"/>
        <v>42937.5</v>
      </c>
      <c r="F34" s="44">
        <v>37500</v>
      </c>
      <c r="G34" s="22">
        <f t="shared" si="7"/>
        <v>5437.5</v>
      </c>
      <c r="H34" s="44">
        <f t="shared" si="1"/>
        <v>750</v>
      </c>
      <c r="I34" s="44">
        <f t="shared" si="2"/>
        <v>42187.5</v>
      </c>
    </row>
    <row r="35" spans="1:9" x14ac:dyDescent="0.2">
      <c r="A35" s="17" t="s">
        <v>202</v>
      </c>
      <c r="B35" s="189" t="s">
        <v>340</v>
      </c>
      <c r="C35" s="17" t="s">
        <v>335</v>
      </c>
      <c r="D35" s="86" t="s">
        <v>204</v>
      </c>
      <c r="E35" s="16">
        <f t="shared" si="0"/>
        <v>72135</v>
      </c>
      <c r="F35" s="44">
        <v>63000</v>
      </c>
      <c r="G35" s="44">
        <f t="shared" si="7"/>
        <v>9135</v>
      </c>
      <c r="H35" s="44">
        <f t="shared" si="1"/>
        <v>1260</v>
      </c>
      <c r="I35" s="44">
        <f t="shared" si="2"/>
        <v>70875</v>
      </c>
    </row>
    <row r="36" spans="1:9" ht="15" x14ac:dyDescent="0.25">
      <c r="A36" s="17" t="s">
        <v>269</v>
      </c>
      <c r="B36" s="189" t="s">
        <v>340</v>
      </c>
      <c r="C36" s="17" t="s">
        <v>341</v>
      </c>
      <c r="D36" s="15" t="s">
        <v>271</v>
      </c>
      <c r="E36" s="16">
        <f t="shared" si="0"/>
        <v>168152.41</v>
      </c>
      <c r="F36" s="191">
        <v>146858</v>
      </c>
      <c r="G36" s="44">
        <f>F36*14.5%</f>
        <v>21294.41</v>
      </c>
      <c r="H36" s="44">
        <f t="shared" si="1"/>
        <v>2937.16</v>
      </c>
      <c r="I36" s="44">
        <f t="shared" si="2"/>
        <v>165215.25</v>
      </c>
    </row>
    <row r="37" spans="1:9" x14ac:dyDescent="0.2">
      <c r="A37" s="17" t="s">
        <v>63</v>
      </c>
      <c r="B37" s="189" t="s">
        <v>340</v>
      </c>
      <c r="C37" s="17" t="s">
        <v>334</v>
      </c>
      <c r="D37" s="20" t="s">
        <v>66</v>
      </c>
      <c r="E37" s="16">
        <f t="shared" si="0"/>
        <v>94897.600000000006</v>
      </c>
      <c r="F37" s="22">
        <v>82880</v>
      </c>
      <c r="G37" s="22">
        <f t="shared" ref="G37:G39" si="8">F37*14.5%</f>
        <v>12017.599999999999</v>
      </c>
      <c r="H37" s="44">
        <f t="shared" si="1"/>
        <v>1657.6000000000001</v>
      </c>
      <c r="I37" s="44">
        <f t="shared" si="2"/>
        <v>93240</v>
      </c>
    </row>
    <row r="38" spans="1:9" x14ac:dyDescent="0.2">
      <c r="A38" s="17" t="s">
        <v>63</v>
      </c>
      <c r="B38" s="189" t="s">
        <v>340</v>
      </c>
      <c r="C38" s="17" t="s">
        <v>334</v>
      </c>
      <c r="D38" s="20" t="s">
        <v>69</v>
      </c>
      <c r="E38" s="16">
        <f t="shared" si="0"/>
        <v>95264</v>
      </c>
      <c r="F38" s="22">
        <v>83200</v>
      </c>
      <c r="G38" s="22">
        <f t="shared" si="8"/>
        <v>12064</v>
      </c>
      <c r="H38" s="44">
        <f t="shared" si="1"/>
        <v>1664</v>
      </c>
      <c r="I38" s="44">
        <f t="shared" si="2"/>
        <v>93600</v>
      </c>
    </row>
    <row r="39" spans="1:9" x14ac:dyDescent="0.2">
      <c r="A39" s="17" t="s">
        <v>70</v>
      </c>
      <c r="B39" s="189" t="s">
        <v>340</v>
      </c>
      <c r="C39" s="17" t="s">
        <v>334</v>
      </c>
      <c r="D39" s="20" t="s">
        <v>73</v>
      </c>
      <c r="E39" s="16">
        <f t="shared" si="0"/>
        <v>16316.25</v>
      </c>
      <c r="F39" s="22">
        <v>14250</v>
      </c>
      <c r="G39" s="22">
        <f t="shared" si="8"/>
        <v>2066.25</v>
      </c>
      <c r="H39" s="44">
        <f t="shared" si="1"/>
        <v>285</v>
      </c>
      <c r="I39" s="44">
        <f t="shared" si="2"/>
        <v>16031.25</v>
      </c>
    </row>
    <row r="40" spans="1:9" x14ac:dyDescent="0.2">
      <c r="A40" s="17" t="s">
        <v>285</v>
      </c>
      <c r="B40" s="189" t="s">
        <v>336</v>
      </c>
      <c r="C40" s="17" t="s">
        <v>342</v>
      </c>
      <c r="D40" s="44" t="s">
        <v>286</v>
      </c>
      <c r="E40" s="16">
        <f t="shared" si="0"/>
        <v>5925.375</v>
      </c>
      <c r="F40" s="44">
        <v>5175</v>
      </c>
      <c r="G40" s="44">
        <f>F40*14.5%</f>
        <v>750.375</v>
      </c>
      <c r="H40" s="44">
        <f t="shared" si="1"/>
        <v>103.5</v>
      </c>
      <c r="I40" s="44">
        <f t="shared" si="2"/>
        <v>5821.875</v>
      </c>
    </row>
    <row r="41" spans="1:9" x14ac:dyDescent="0.2">
      <c r="A41" s="17" t="s">
        <v>70</v>
      </c>
      <c r="B41" s="189" t="s">
        <v>329</v>
      </c>
      <c r="C41" s="17" t="s">
        <v>343</v>
      </c>
      <c r="D41" s="96" t="s">
        <v>255</v>
      </c>
      <c r="E41" s="16">
        <f t="shared" si="0"/>
        <v>7041.75</v>
      </c>
      <c r="F41" s="16">
        <v>6150</v>
      </c>
      <c r="G41" s="44">
        <f t="shared" ref="G41:G51" si="9">F41*14.5%</f>
        <v>891.74999999999989</v>
      </c>
      <c r="H41" s="44">
        <f t="shared" si="1"/>
        <v>123</v>
      </c>
      <c r="I41" s="44">
        <f t="shared" si="2"/>
        <v>6918.75</v>
      </c>
    </row>
    <row r="42" spans="1:9" x14ac:dyDescent="0.2">
      <c r="A42" s="17" t="s">
        <v>70</v>
      </c>
      <c r="B42" s="189" t="s">
        <v>332</v>
      </c>
      <c r="C42" s="17" t="s">
        <v>343</v>
      </c>
      <c r="D42" s="96" t="s">
        <v>257</v>
      </c>
      <c r="E42" s="16">
        <f t="shared" si="0"/>
        <v>5633.4</v>
      </c>
      <c r="F42" s="16">
        <v>4920</v>
      </c>
      <c r="G42" s="44">
        <f t="shared" si="9"/>
        <v>713.4</v>
      </c>
      <c r="H42" s="44">
        <f t="shared" si="1"/>
        <v>98.4</v>
      </c>
      <c r="I42" s="44">
        <f t="shared" si="2"/>
        <v>5535</v>
      </c>
    </row>
    <row r="43" spans="1:9" x14ac:dyDescent="0.2">
      <c r="A43" s="17" t="s">
        <v>70</v>
      </c>
      <c r="B43" s="189" t="s">
        <v>336</v>
      </c>
      <c r="C43" s="17" t="s">
        <v>343</v>
      </c>
      <c r="D43" s="97" t="s">
        <v>258</v>
      </c>
      <c r="E43" s="16">
        <f t="shared" si="0"/>
        <v>14369.75</v>
      </c>
      <c r="F43" s="98">
        <v>12550</v>
      </c>
      <c r="G43" s="44">
        <f t="shared" si="9"/>
        <v>1819.7499999999998</v>
      </c>
      <c r="H43" s="44">
        <f t="shared" si="1"/>
        <v>251</v>
      </c>
      <c r="I43" s="44">
        <f t="shared" si="2"/>
        <v>14118.75</v>
      </c>
    </row>
    <row r="44" spans="1:9" x14ac:dyDescent="0.2">
      <c r="A44" s="17" t="s">
        <v>70</v>
      </c>
      <c r="B44" s="189" t="s">
        <v>333</v>
      </c>
      <c r="C44" s="17" t="s">
        <v>343</v>
      </c>
      <c r="D44" s="97" t="s">
        <v>259</v>
      </c>
      <c r="E44" s="16">
        <f t="shared" si="0"/>
        <v>515.25</v>
      </c>
      <c r="F44" s="98">
        <v>450</v>
      </c>
      <c r="G44" s="44">
        <f t="shared" si="9"/>
        <v>65.25</v>
      </c>
      <c r="H44" s="44">
        <f t="shared" si="1"/>
        <v>9</v>
      </c>
      <c r="I44" s="44">
        <f t="shared" si="2"/>
        <v>506.25</v>
      </c>
    </row>
    <row r="45" spans="1:9" x14ac:dyDescent="0.2">
      <c r="A45" s="17" t="s">
        <v>74</v>
      </c>
      <c r="B45" s="189" t="s">
        <v>344</v>
      </c>
      <c r="C45" s="17" t="s">
        <v>330</v>
      </c>
      <c r="D45" s="69" t="s">
        <v>133</v>
      </c>
      <c r="E45" s="16">
        <f t="shared" si="0"/>
        <v>266812.48</v>
      </c>
      <c r="F45" s="22">
        <v>233024</v>
      </c>
      <c r="G45" s="44">
        <f t="shared" si="9"/>
        <v>33788.479999999996</v>
      </c>
      <c r="H45" s="44">
        <f t="shared" si="1"/>
        <v>4660.4800000000005</v>
      </c>
      <c r="I45" s="44">
        <f t="shared" si="2"/>
        <v>262152</v>
      </c>
    </row>
    <row r="46" spans="1:9" x14ac:dyDescent="0.2">
      <c r="A46" s="17" t="s">
        <v>74</v>
      </c>
      <c r="B46" s="189" t="s">
        <v>340</v>
      </c>
      <c r="C46" s="17" t="s">
        <v>334</v>
      </c>
      <c r="D46" s="20" t="s">
        <v>77</v>
      </c>
      <c r="E46" s="16">
        <f t="shared" si="0"/>
        <v>54984.044999999998</v>
      </c>
      <c r="F46" s="22">
        <v>48021</v>
      </c>
      <c r="G46" s="44">
        <f t="shared" si="9"/>
        <v>6963.0449999999992</v>
      </c>
      <c r="H46" s="44">
        <f t="shared" si="1"/>
        <v>960.42000000000007</v>
      </c>
      <c r="I46" s="44">
        <f t="shared" si="2"/>
        <v>54023.625</v>
      </c>
    </row>
    <row r="47" spans="1:9" x14ac:dyDescent="0.2">
      <c r="A47" s="17" t="s">
        <v>74</v>
      </c>
      <c r="B47" s="189" t="s">
        <v>340</v>
      </c>
      <c r="C47" s="17" t="s">
        <v>334</v>
      </c>
      <c r="D47" s="20" t="s">
        <v>81</v>
      </c>
      <c r="E47" s="16">
        <f t="shared" si="0"/>
        <v>39460.135000000002</v>
      </c>
      <c r="F47" s="22">
        <v>34463</v>
      </c>
      <c r="G47" s="44">
        <f t="shared" si="9"/>
        <v>4997.1349999999993</v>
      </c>
      <c r="H47" s="44">
        <f t="shared" si="1"/>
        <v>689.26</v>
      </c>
      <c r="I47" s="44">
        <f t="shared" si="2"/>
        <v>38770.875</v>
      </c>
    </row>
    <row r="48" spans="1:9" ht="15" x14ac:dyDescent="0.25">
      <c r="A48" s="17" t="s">
        <v>252</v>
      </c>
      <c r="B48" s="189" t="s">
        <v>333</v>
      </c>
      <c r="C48" s="17" t="s">
        <v>341</v>
      </c>
      <c r="D48" s="15" t="s">
        <v>273</v>
      </c>
      <c r="E48" s="16">
        <f t="shared" si="0"/>
        <v>58147.68</v>
      </c>
      <c r="F48" s="191">
        <v>50784</v>
      </c>
      <c r="G48" s="44">
        <f t="shared" si="9"/>
        <v>7363.6799999999994</v>
      </c>
      <c r="H48" s="44">
        <f t="shared" si="1"/>
        <v>1015.6800000000001</v>
      </c>
      <c r="I48" s="44">
        <f t="shared" si="2"/>
        <v>57132</v>
      </c>
    </row>
    <row r="49" spans="1:9" ht="15" x14ac:dyDescent="0.25">
      <c r="A49" s="17" t="s">
        <v>74</v>
      </c>
      <c r="B49" s="189" t="s">
        <v>340</v>
      </c>
      <c r="C49" s="17" t="s">
        <v>341</v>
      </c>
      <c r="D49" s="15" t="s">
        <v>274</v>
      </c>
      <c r="E49" s="16">
        <f t="shared" si="0"/>
        <v>108638.745</v>
      </c>
      <c r="F49" s="191">
        <v>94881</v>
      </c>
      <c r="G49" s="44">
        <f t="shared" si="9"/>
        <v>13757.744999999999</v>
      </c>
      <c r="H49" s="44">
        <f t="shared" si="1"/>
        <v>1897.6200000000001</v>
      </c>
      <c r="I49" s="44">
        <f t="shared" si="2"/>
        <v>106741.125</v>
      </c>
    </row>
    <row r="50" spans="1:9" x14ac:dyDescent="0.2">
      <c r="A50" s="17" t="s">
        <v>74</v>
      </c>
      <c r="B50" s="189" t="s">
        <v>340</v>
      </c>
      <c r="C50" s="17" t="s">
        <v>334</v>
      </c>
      <c r="D50" s="20" t="s">
        <v>85</v>
      </c>
      <c r="E50" s="16">
        <f t="shared" si="0"/>
        <v>17175</v>
      </c>
      <c r="F50" s="22">
        <v>15000</v>
      </c>
      <c r="G50" s="22">
        <f t="shared" si="9"/>
        <v>2175</v>
      </c>
      <c r="H50" s="44">
        <f t="shared" si="1"/>
        <v>300</v>
      </c>
      <c r="I50" s="44">
        <f t="shared" si="2"/>
        <v>16875</v>
      </c>
    </row>
    <row r="51" spans="1:9" x14ac:dyDescent="0.2">
      <c r="A51" s="17" t="s">
        <v>74</v>
      </c>
      <c r="B51" s="189" t="s">
        <v>340</v>
      </c>
      <c r="C51" s="17" t="s">
        <v>338</v>
      </c>
      <c r="D51" s="44" t="s">
        <v>147</v>
      </c>
      <c r="E51" s="16">
        <f t="shared" si="0"/>
        <v>51525</v>
      </c>
      <c r="F51" s="44">
        <v>45000</v>
      </c>
      <c r="G51" s="22">
        <f t="shared" si="9"/>
        <v>6525</v>
      </c>
      <c r="H51" s="44">
        <f t="shared" si="1"/>
        <v>900</v>
      </c>
      <c r="I51" s="44">
        <f t="shared" si="2"/>
        <v>50625</v>
      </c>
    </row>
    <row r="52" spans="1:9" x14ac:dyDescent="0.2">
      <c r="A52" s="17" t="s">
        <v>148</v>
      </c>
      <c r="B52" s="189" t="s">
        <v>340</v>
      </c>
      <c r="C52" s="17" t="s">
        <v>338</v>
      </c>
      <c r="D52" s="44" t="s">
        <v>150</v>
      </c>
      <c r="E52" s="16">
        <f t="shared" si="0"/>
        <v>51750</v>
      </c>
      <c r="F52" s="44">
        <v>45000</v>
      </c>
      <c r="G52" s="22">
        <f>F52*15%</f>
        <v>6750</v>
      </c>
      <c r="H52" s="44">
        <f t="shared" si="1"/>
        <v>900</v>
      </c>
      <c r="I52" s="44">
        <f t="shared" si="2"/>
        <v>50850</v>
      </c>
    </row>
    <row r="53" spans="1:9" x14ac:dyDescent="0.2">
      <c r="A53" s="20" t="s">
        <v>282</v>
      </c>
      <c r="B53" s="189" t="s">
        <v>340</v>
      </c>
      <c r="C53" s="17" t="s">
        <v>1</v>
      </c>
      <c r="D53" s="22" t="s">
        <v>284</v>
      </c>
      <c r="E53" s="16">
        <f t="shared" si="0"/>
        <v>20700</v>
      </c>
      <c r="F53" s="22">
        <v>18000</v>
      </c>
      <c r="G53" s="44">
        <f>F53*15%</f>
        <v>2700</v>
      </c>
      <c r="H53" s="44">
        <f t="shared" si="1"/>
        <v>360</v>
      </c>
      <c r="I53" s="44">
        <f t="shared" si="2"/>
        <v>20340</v>
      </c>
    </row>
    <row r="54" spans="1:9" x14ac:dyDescent="0.2">
      <c r="A54" s="17" t="s">
        <v>298</v>
      </c>
      <c r="B54" s="189" t="s">
        <v>345</v>
      </c>
      <c r="C54" s="17" t="s">
        <v>346</v>
      </c>
      <c r="D54" s="69" t="s">
        <v>299</v>
      </c>
      <c r="E54" s="16">
        <f t="shared" si="0"/>
        <v>29907.4</v>
      </c>
      <c r="F54" s="22">
        <v>26120</v>
      </c>
      <c r="G54" s="44">
        <f t="shared" ref="G54:G55" si="10">F54*14.5%</f>
        <v>3787.3999999999996</v>
      </c>
      <c r="H54" s="44">
        <f t="shared" si="1"/>
        <v>522.4</v>
      </c>
      <c r="I54" s="44">
        <f t="shared" si="2"/>
        <v>29385</v>
      </c>
    </row>
    <row r="55" spans="1:9" x14ac:dyDescent="0.2">
      <c r="A55" s="17" t="s">
        <v>347</v>
      </c>
      <c r="B55" s="189" t="s">
        <v>332</v>
      </c>
      <c r="C55" s="17" t="s">
        <v>348</v>
      </c>
      <c r="D55" s="69" t="s">
        <v>307</v>
      </c>
      <c r="E55" s="16">
        <f t="shared" si="0"/>
        <v>4694.5</v>
      </c>
      <c r="F55" s="22">
        <v>4100</v>
      </c>
      <c r="G55" s="44">
        <f t="shared" si="10"/>
        <v>594.5</v>
      </c>
      <c r="H55" s="44">
        <f t="shared" si="1"/>
        <v>82</v>
      </c>
      <c r="I55" s="44">
        <f t="shared" si="2"/>
        <v>4612.5</v>
      </c>
    </row>
    <row r="56" spans="1:9" x14ac:dyDescent="0.2">
      <c r="A56" s="17" t="s">
        <v>134</v>
      </c>
      <c r="B56" s="189" t="s">
        <v>329</v>
      </c>
      <c r="C56" s="17" t="s">
        <v>338</v>
      </c>
      <c r="D56" s="44" t="s">
        <v>152</v>
      </c>
      <c r="E56" s="16">
        <f t="shared" si="0"/>
        <v>215050</v>
      </c>
      <c r="F56" s="44">
        <v>187000</v>
      </c>
      <c r="G56" s="22">
        <f t="shared" ref="G56:G57" si="11">F56*15%</f>
        <v>28050</v>
      </c>
      <c r="H56" s="44">
        <f t="shared" si="1"/>
        <v>3740</v>
      </c>
      <c r="I56" s="44">
        <f t="shared" si="2"/>
        <v>211310</v>
      </c>
    </row>
    <row r="57" spans="1:9" x14ac:dyDescent="0.2">
      <c r="A57" s="17" t="s">
        <v>134</v>
      </c>
      <c r="B57" s="189" t="s">
        <v>332</v>
      </c>
      <c r="C57" s="17" t="s">
        <v>338</v>
      </c>
      <c r="D57" s="44" t="s">
        <v>154</v>
      </c>
      <c r="E57" s="16">
        <f t="shared" si="0"/>
        <v>302450</v>
      </c>
      <c r="F57" s="44">
        <v>263000</v>
      </c>
      <c r="G57" s="22">
        <f t="shared" si="11"/>
        <v>39450</v>
      </c>
      <c r="H57" s="44">
        <f t="shared" si="1"/>
        <v>5260</v>
      </c>
      <c r="I57" s="44">
        <f t="shared" si="2"/>
        <v>297190</v>
      </c>
    </row>
    <row r="58" spans="1:9" x14ac:dyDescent="0.2">
      <c r="A58" s="17" t="s">
        <v>349</v>
      </c>
      <c r="B58" s="189" t="s">
        <v>345</v>
      </c>
      <c r="C58" s="17" t="s">
        <v>14</v>
      </c>
      <c r="D58" s="44" t="s">
        <v>302</v>
      </c>
      <c r="E58" s="16">
        <f t="shared" si="0"/>
        <v>1304.0999999999999</v>
      </c>
      <c r="F58" s="44">
        <v>1134</v>
      </c>
      <c r="G58" s="44">
        <f>F58*15%</f>
        <v>170.1</v>
      </c>
      <c r="H58" s="44">
        <f t="shared" si="1"/>
        <v>22.68</v>
      </c>
      <c r="I58" s="44">
        <f t="shared" si="2"/>
        <v>1281.4199999999998</v>
      </c>
    </row>
    <row r="59" spans="1:9" x14ac:dyDescent="0.2">
      <c r="A59" s="17" t="s">
        <v>349</v>
      </c>
      <c r="B59" s="189" t="s">
        <v>333</v>
      </c>
      <c r="C59" s="17" t="s">
        <v>14</v>
      </c>
      <c r="D59" s="44" t="s">
        <v>303</v>
      </c>
      <c r="E59" s="16">
        <f t="shared" si="0"/>
        <v>4168.75</v>
      </c>
      <c r="F59" s="44">
        <v>3625</v>
      </c>
      <c r="G59" s="44">
        <f t="shared" ref="G59" si="12">F59*15%</f>
        <v>543.75</v>
      </c>
      <c r="H59" s="44">
        <f t="shared" si="1"/>
        <v>72.5</v>
      </c>
      <c r="I59" s="44">
        <f t="shared" si="2"/>
        <v>4096.25</v>
      </c>
    </row>
    <row r="60" spans="1:9" x14ac:dyDescent="0.2">
      <c r="A60" s="17" t="s">
        <v>86</v>
      </c>
      <c r="B60" s="189" t="s">
        <v>350</v>
      </c>
      <c r="C60" s="17" t="s">
        <v>334</v>
      </c>
      <c r="D60" s="20" t="s">
        <v>89</v>
      </c>
      <c r="E60" s="16">
        <f t="shared" si="0"/>
        <v>4600</v>
      </c>
      <c r="F60" s="22">
        <f>50000/1000*80</f>
        <v>4000</v>
      </c>
      <c r="G60" s="22">
        <f>F60*15%</f>
        <v>600</v>
      </c>
      <c r="H60" s="44">
        <f t="shared" si="1"/>
        <v>80</v>
      </c>
      <c r="I60" s="44">
        <f t="shared" si="2"/>
        <v>4520</v>
      </c>
    </row>
    <row r="61" spans="1:9" x14ac:dyDescent="0.2">
      <c r="A61" s="17" t="s">
        <v>86</v>
      </c>
      <c r="B61" s="189" t="s">
        <v>350</v>
      </c>
      <c r="C61" s="17" t="s">
        <v>334</v>
      </c>
      <c r="D61" s="20" t="s">
        <v>90</v>
      </c>
      <c r="E61" s="16">
        <f t="shared" si="0"/>
        <v>50312.5</v>
      </c>
      <c r="F61" s="22">
        <f>17500*2.5</f>
        <v>43750</v>
      </c>
      <c r="G61" s="22">
        <f t="shared" ref="G61:G62" si="13">F61*15%</f>
        <v>6562.5</v>
      </c>
      <c r="H61" s="44">
        <f t="shared" si="1"/>
        <v>875</v>
      </c>
      <c r="I61" s="44">
        <f t="shared" si="2"/>
        <v>49437.5</v>
      </c>
    </row>
    <row r="62" spans="1:9" x14ac:dyDescent="0.2">
      <c r="A62" s="17" t="s">
        <v>86</v>
      </c>
      <c r="B62" s="189" t="s">
        <v>350</v>
      </c>
      <c r="C62" s="17" t="s">
        <v>334</v>
      </c>
      <c r="D62" s="20" t="s">
        <v>91</v>
      </c>
      <c r="E62" s="16">
        <f t="shared" si="0"/>
        <v>82775.850000000006</v>
      </c>
      <c r="F62" s="22">
        <f>719790/1000*100</f>
        <v>71979</v>
      </c>
      <c r="G62" s="22">
        <f t="shared" si="13"/>
        <v>10796.85</v>
      </c>
      <c r="H62" s="44">
        <f t="shared" si="1"/>
        <v>1439.58</v>
      </c>
      <c r="I62" s="44">
        <f t="shared" si="2"/>
        <v>81336.27</v>
      </c>
    </row>
    <row r="63" spans="1:9" x14ac:dyDescent="0.2">
      <c r="A63" s="17" t="s">
        <v>155</v>
      </c>
      <c r="B63" s="189" t="s">
        <v>350</v>
      </c>
      <c r="C63" s="17" t="s">
        <v>338</v>
      </c>
      <c r="D63" s="44" t="s">
        <v>157</v>
      </c>
      <c r="E63" s="16">
        <f t="shared" si="0"/>
        <v>36800</v>
      </c>
      <c r="F63" s="44">
        <f>400000/1000*80</f>
        <v>32000</v>
      </c>
      <c r="G63" s="22">
        <f>F63*15%</f>
        <v>4800</v>
      </c>
      <c r="H63" s="44">
        <f t="shared" si="1"/>
        <v>640</v>
      </c>
      <c r="I63" s="44">
        <f t="shared" si="2"/>
        <v>36160</v>
      </c>
    </row>
    <row r="64" spans="1:9" ht="15" x14ac:dyDescent="0.25">
      <c r="A64" s="17" t="s">
        <v>86</v>
      </c>
      <c r="B64" s="189" t="s">
        <v>350</v>
      </c>
      <c r="C64" s="17" t="s">
        <v>341</v>
      </c>
      <c r="D64" s="15" t="s">
        <v>276</v>
      </c>
      <c r="E64" s="16">
        <f t="shared" si="0"/>
        <v>65780</v>
      </c>
      <c r="F64" s="191">
        <f>26000*2.2</f>
        <v>57200.000000000007</v>
      </c>
      <c r="G64" s="44">
        <f>F64*15%</f>
        <v>8580</v>
      </c>
      <c r="H64" s="44">
        <f t="shared" si="1"/>
        <v>1144.0000000000002</v>
      </c>
      <c r="I64" s="44">
        <f t="shared" si="2"/>
        <v>64636</v>
      </c>
    </row>
    <row r="65" spans="1:9" x14ac:dyDescent="0.2">
      <c r="A65" s="17" t="s">
        <v>55</v>
      </c>
      <c r="B65" s="189" t="s">
        <v>336</v>
      </c>
      <c r="C65" s="17" t="s">
        <v>337</v>
      </c>
      <c r="D65" s="17" t="s">
        <v>56</v>
      </c>
      <c r="E65" s="16">
        <f t="shared" si="0"/>
        <v>187283.25</v>
      </c>
      <c r="F65" s="44">
        <v>162855</v>
      </c>
      <c r="G65" s="22">
        <f>F65*15%</f>
        <v>24428.25</v>
      </c>
      <c r="H65" s="44">
        <f t="shared" si="1"/>
        <v>3257.1</v>
      </c>
      <c r="I65" s="44">
        <f t="shared" si="2"/>
        <v>184026.15</v>
      </c>
    </row>
    <row r="66" spans="1:9" x14ac:dyDescent="0.2">
      <c r="A66" s="17" t="s">
        <v>55</v>
      </c>
      <c r="B66" s="189" t="s">
        <v>344</v>
      </c>
      <c r="C66" s="17" t="s">
        <v>337</v>
      </c>
      <c r="D66" s="17" t="s">
        <v>57</v>
      </c>
      <c r="E66" s="16">
        <f t="shared" si="0"/>
        <v>86715.75</v>
      </c>
      <c r="F66" s="44">
        <v>75405</v>
      </c>
      <c r="G66" s="22">
        <f t="shared" ref="G66" si="14">F66*15%</f>
        <v>11310.75</v>
      </c>
      <c r="H66" s="44">
        <f t="shared" si="1"/>
        <v>1508.1000000000001</v>
      </c>
      <c r="I66" s="44">
        <f t="shared" si="2"/>
        <v>85207.65</v>
      </c>
    </row>
    <row r="67" spans="1:9" x14ac:dyDescent="0.2">
      <c r="A67" s="17" t="s">
        <v>50</v>
      </c>
      <c r="B67" s="189" t="s">
        <v>333</v>
      </c>
      <c r="C67" s="17" t="s">
        <v>3</v>
      </c>
      <c r="D67" s="16" t="s">
        <v>51</v>
      </c>
      <c r="E67" s="16">
        <f t="shared" ref="E67:E129" si="15">F67+G67</f>
        <v>150552.25</v>
      </c>
      <c r="F67" s="16">
        <v>130915</v>
      </c>
      <c r="G67" s="16">
        <f t="shared" ref="G67" si="16">F67*15%</f>
        <v>19637.25</v>
      </c>
      <c r="H67" s="44">
        <f t="shared" ref="H67:H128" si="17">F67*2%</f>
        <v>2618.3000000000002</v>
      </c>
      <c r="I67" s="44">
        <f t="shared" ref="I67:I128" si="18">E67-H67</f>
        <v>147933.95000000001</v>
      </c>
    </row>
    <row r="68" spans="1:9" x14ac:dyDescent="0.2">
      <c r="A68" s="17" t="s">
        <v>155</v>
      </c>
      <c r="B68" s="189" t="s">
        <v>350</v>
      </c>
      <c r="C68" s="17" t="s">
        <v>338</v>
      </c>
      <c r="D68" s="44" t="s">
        <v>158</v>
      </c>
      <c r="E68" s="16">
        <f t="shared" si="15"/>
        <v>41687.5</v>
      </c>
      <c r="F68" s="44">
        <f>14500*2.5</f>
        <v>36250</v>
      </c>
      <c r="G68" s="22">
        <f>F68*15%</f>
        <v>5437.5</v>
      </c>
      <c r="H68" s="44">
        <f t="shared" si="17"/>
        <v>725</v>
      </c>
      <c r="I68" s="44">
        <f t="shared" si="18"/>
        <v>40962.5</v>
      </c>
    </row>
    <row r="69" spans="1:9" x14ac:dyDescent="0.2">
      <c r="A69" s="17" t="s">
        <v>155</v>
      </c>
      <c r="B69" s="189" t="s">
        <v>350</v>
      </c>
      <c r="C69" s="17" t="s">
        <v>338</v>
      </c>
      <c r="D69" s="32" t="s">
        <v>159</v>
      </c>
      <c r="E69" s="16">
        <f t="shared" si="15"/>
        <v>8050</v>
      </c>
      <c r="F69" s="44">
        <f>2800*2.5</f>
        <v>7000</v>
      </c>
      <c r="G69" s="22">
        <f t="shared" ref="G69:G70" si="19">F69*15%</f>
        <v>1050</v>
      </c>
      <c r="H69" s="44">
        <f t="shared" si="17"/>
        <v>140</v>
      </c>
      <c r="I69" s="44">
        <f t="shared" si="18"/>
        <v>7910</v>
      </c>
    </row>
    <row r="70" spans="1:9" x14ac:dyDescent="0.2">
      <c r="A70" s="17" t="s">
        <v>155</v>
      </c>
      <c r="B70" s="189" t="s">
        <v>350</v>
      </c>
      <c r="C70" s="17" t="s">
        <v>338</v>
      </c>
      <c r="D70" s="32" t="s">
        <v>161</v>
      </c>
      <c r="E70" s="16">
        <f t="shared" si="15"/>
        <v>91104.15</v>
      </c>
      <c r="F70" s="44">
        <f>26407*3</f>
        <v>79221</v>
      </c>
      <c r="G70" s="22">
        <f t="shared" si="19"/>
        <v>11883.15</v>
      </c>
      <c r="H70" s="44">
        <f t="shared" si="17"/>
        <v>1584.42</v>
      </c>
      <c r="I70" s="44">
        <f t="shared" si="18"/>
        <v>89519.73</v>
      </c>
    </row>
    <row r="71" spans="1:9" x14ac:dyDescent="0.2">
      <c r="A71" s="17" t="s">
        <v>351</v>
      </c>
      <c r="B71" s="189" t="s">
        <v>352</v>
      </c>
      <c r="C71" s="17" t="s">
        <v>16</v>
      </c>
      <c r="D71" s="69" t="s">
        <v>312</v>
      </c>
      <c r="E71" s="16">
        <f t="shared" si="15"/>
        <v>56267.136749999991</v>
      </c>
      <c r="F71" s="22">
        <f>515031/1000*95</f>
        <v>48927.944999999992</v>
      </c>
      <c r="G71" s="22">
        <f>F71*15%</f>
        <v>7339.191749999999</v>
      </c>
      <c r="H71" s="44">
        <f t="shared" si="17"/>
        <v>978.55889999999988</v>
      </c>
      <c r="I71" s="44">
        <f t="shared" si="18"/>
        <v>55288.577849999994</v>
      </c>
    </row>
    <row r="72" spans="1:9" x14ac:dyDescent="0.2">
      <c r="A72" s="17" t="s">
        <v>74</v>
      </c>
      <c r="B72" s="189" t="s">
        <v>340</v>
      </c>
      <c r="C72" s="17" t="s">
        <v>12</v>
      </c>
      <c r="D72" s="44" t="s">
        <v>315</v>
      </c>
      <c r="E72" s="16">
        <f t="shared" si="15"/>
        <v>4997.9250000000002</v>
      </c>
      <c r="F72" s="44">
        <f>2910*1.5</f>
        <v>4365</v>
      </c>
      <c r="G72" s="44">
        <f>F72*14.5%</f>
        <v>632.92499999999995</v>
      </c>
      <c r="H72" s="44">
        <f t="shared" si="17"/>
        <v>87.3</v>
      </c>
      <c r="I72" s="44">
        <f t="shared" si="18"/>
        <v>4910.625</v>
      </c>
    </row>
    <row r="73" spans="1:9" x14ac:dyDescent="0.2">
      <c r="A73" s="17" t="s">
        <v>353</v>
      </c>
      <c r="B73" s="189" t="s">
        <v>350</v>
      </c>
      <c r="C73" s="17" t="s">
        <v>12</v>
      </c>
      <c r="D73" s="44" t="s">
        <v>318</v>
      </c>
      <c r="E73" s="16">
        <f t="shared" si="15"/>
        <v>3393.0749999999998</v>
      </c>
      <c r="F73" s="44">
        <f>1967*1.5</f>
        <v>2950.5</v>
      </c>
      <c r="G73" s="44">
        <f>F73*15%</f>
        <v>442.57499999999999</v>
      </c>
      <c r="H73" s="44">
        <f t="shared" si="17"/>
        <v>59.01</v>
      </c>
      <c r="I73" s="44">
        <f t="shared" si="18"/>
        <v>3334.0649999999996</v>
      </c>
    </row>
    <row r="74" spans="1:9" x14ac:dyDescent="0.2">
      <c r="A74" s="15" t="s">
        <v>287</v>
      </c>
      <c r="B74" s="189" t="s">
        <v>333</v>
      </c>
      <c r="C74" s="17" t="s">
        <v>342</v>
      </c>
      <c r="D74" s="44" t="s">
        <v>288</v>
      </c>
      <c r="E74" s="16">
        <f t="shared" si="15"/>
        <v>20542.45</v>
      </c>
      <c r="F74" s="44">
        <v>17863</v>
      </c>
      <c r="G74" s="44">
        <f>F74*15%</f>
        <v>2679.45</v>
      </c>
      <c r="H74" s="44">
        <f t="shared" si="17"/>
        <v>357.26</v>
      </c>
      <c r="I74" s="44">
        <f t="shared" si="18"/>
        <v>20185.190000000002</v>
      </c>
    </row>
    <row r="75" spans="1:9" x14ac:dyDescent="0.2">
      <c r="A75" s="15" t="s">
        <v>260</v>
      </c>
      <c r="B75" s="189" t="s">
        <v>340</v>
      </c>
      <c r="C75" s="17" t="s">
        <v>343</v>
      </c>
      <c r="D75" s="97" t="s">
        <v>261</v>
      </c>
      <c r="E75" s="16">
        <f t="shared" si="15"/>
        <v>5554.5</v>
      </c>
      <c r="F75" s="98">
        <v>4830</v>
      </c>
      <c r="G75" s="44">
        <f>F75*15%</f>
        <v>724.5</v>
      </c>
      <c r="H75" s="44">
        <f t="shared" si="17"/>
        <v>96.600000000000009</v>
      </c>
      <c r="I75" s="44">
        <f t="shared" si="18"/>
        <v>5457.9</v>
      </c>
    </row>
    <row r="76" spans="1:9" x14ac:dyDescent="0.2">
      <c r="A76" s="17" t="s">
        <v>290</v>
      </c>
      <c r="B76" s="189" t="s">
        <v>340</v>
      </c>
      <c r="C76" s="17" t="s">
        <v>342</v>
      </c>
      <c r="D76" s="44" t="s">
        <v>291</v>
      </c>
      <c r="E76" s="16">
        <f t="shared" si="15"/>
        <v>77637.649999999994</v>
      </c>
      <c r="F76" s="44">
        <v>67511</v>
      </c>
      <c r="G76" s="44">
        <f t="shared" ref="G76:G80" si="20">F76*15%</f>
        <v>10126.65</v>
      </c>
      <c r="H76" s="44">
        <f t="shared" si="17"/>
        <v>1350.22</v>
      </c>
      <c r="I76" s="44">
        <f t="shared" si="18"/>
        <v>76287.429999999993</v>
      </c>
    </row>
    <row r="77" spans="1:9" x14ac:dyDescent="0.2">
      <c r="A77" s="20" t="s">
        <v>92</v>
      </c>
      <c r="B77" s="189" t="s">
        <v>350</v>
      </c>
      <c r="C77" s="17" t="s">
        <v>334</v>
      </c>
      <c r="D77" s="20" t="s">
        <v>96</v>
      </c>
      <c r="E77" s="16">
        <f t="shared" si="15"/>
        <v>69000</v>
      </c>
      <c r="F77" s="22">
        <f>20000*3</f>
        <v>60000</v>
      </c>
      <c r="G77" s="22">
        <f t="shared" si="20"/>
        <v>9000</v>
      </c>
      <c r="H77" s="44">
        <f t="shared" si="17"/>
        <v>1200</v>
      </c>
      <c r="I77" s="44">
        <f t="shared" si="18"/>
        <v>67800</v>
      </c>
    </row>
    <row r="78" spans="1:9" x14ac:dyDescent="0.2">
      <c r="A78" s="20" t="s">
        <v>97</v>
      </c>
      <c r="B78" s="189" t="s">
        <v>350</v>
      </c>
      <c r="C78" s="17" t="s">
        <v>334</v>
      </c>
      <c r="D78" s="20" t="s">
        <v>100</v>
      </c>
      <c r="E78" s="16">
        <f t="shared" si="15"/>
        <v>60375</v>
      </c>
      <c r="F78" s="22">
        <f>700000/1000*75</f>
        <v>52500</v>
      </c>
      <c r="G78" s="22">
        <f t="shared" si="20"/>
        <v>7875</v>
      </c>
      <c r="H78" s="44">
        <f t="shared" si="17"/>
        <v>1050</v>
      </c>
      <c r="I78" s="44">
        <f t="shared" si="18"/>
        <v>59325</v>
      </c>
    </row>
    <row r="79" spans="1:9" x14ac:dyDescent="0.2">
      <c r="A79" s="20" t="s">
        <v>101</v>
      </c>
      <c r="B79" s="189" t="s">
        <v>350</v>
      </c>
      <c r="C79" s="17" t="s">
        <v>334</v>
      </c>
      <c r="D79" s="20" t="s">
        <v>104</v>
      </c>
      <c r="E79" s="16">
        <f t="shared" si="15"/>
        <v>20700</v>
      </c>
      <c r="F79" s="22">
        <f>150000/1000*120</f>
        <v>18000</v>
      </c>
      <c r="G79" s="22">
        <f t="shared" si="20"/>
        <v>2700</v>
      </c>
      <c r="H79" s="44">
        <f t="shared" si="17"/>
        <v>360</v>
      </c>
      <c r="I79" s="44">
        <f t="shared" si="18"/>
        <v>20340</v>
      </c>
    </row>
    <row r="80" spans="1:9" x14ac:dyDescent="0.2">
      <c r="A80" s="20" t="s">
        <v>105</v>
      </c>
      <c r="B80" s="189" t="s">
        <v>352</v>
      </c>
      <c r="C80" s="17" t="s">
        <v>334</v>
      </c>
      <c r="D80" s="20" t="s">
        <v>108</v>
      </c>
      <c r="E80" s="16">
        <f t="shared" si="15"/>
        <v>8050</v>
      </c>
      <c r="F80" s="22">
        <f>2000*3.5</f>
        <v>7000</v>
      </c>
      <c r="G80" s="22">
        <f t="shared" si="20"/>
        <v>1050</v>
      </c>
      <c r="H80" s="44">
        <f t="shared" si="17"/>
        <v>140</v>
      </c>
      <c r="I80" s="44">
        <f t="shared" si="18"/>
        <v>7910</v>
      </c>
    </row>
    <row r="81" spans="1:9" x14ac:dyDescent="0.2">
      <c r="A81" s="17" t="s">
        <v>135</v>
      </c>
      <c r="B81" s="189" t="s">
        <v>340</v>
      </c>
      <c r="C81" s="17" t="s">
        <v>330</v>
      </c>
      <c r="D81" s="69" t="s">
        <v>136</v>
      </c>
      <c r="E81" s="16">
        <f t="shared" si="15"/>
        <v>233289</v>
      </c>
      <c r="F81" s="22">
        <v>202860</v>
      </c>
      <c r="G81" s="16">
        <f>F81*15%</f>
        <v>30429</v>
      </c>
      <c r="H81" s="44">
        <f t="shared" si="17"/>
        <v>4057.2000000000003</v>
      </c>
      <c r="I81" s="44">
        <f t="shared" si="18"/>
        <v>229231.8</v>
      </c>
    </row>
    <row r="82" spans="1:9" x14ac:dyDescent="0.2">
      <c r="A82" s="17" t="s">
        <v>135</v>
      </c>
      <c r="B82" s="189" t="s">
        <v>333</v>
      </c>
      <c r="C82" s="17" t="s">
        <v>339</v>
      </c>
      <c r="D82" s="69" t="s">
        <v>295</v>
      </c>
      <c r="E82" s="16">
        <f t="shared" si="15"/>
        <v>414</v>
      </c>
      <c r="F82" s="22">
        <v>360</v>
      </c>
      <c r="G82" s="44">
        <f>F82*15%</f>
        <v>54</v>
      </c>
      <c r="H82" s="44">
        <f t="shared" si="17"/>
        <v>7.2</v>
      </c>
      <c r="I82" s="44">
        <f t="shared" si="18"/>
        <v>406.8</v>
      </c>
    </row>
    <row r="83" spans="1:9" x14ac:dyDescent="0.2">
      <c r="A83" s="17" t="s">
        <v>135</v>
      </c>
      <c r="B83" s="189" t="s">
        <v>340</v>
      </c>
      <c r="C83" s="17" t="s">
        <v>339</v>
      </c>
      <c r="D83" s="69" t="s">
        <v>296</v>
      </c>
      <c r="E83" s="16">
        <f t="shared" si="15"/>
        <v>3082</v>
      </c>
      <c r="F83" s="22">
        <v>2680</v>
      </c>
      <c r="G83" s="44">
        <f t="shared" ref="G83:G91" si="21">F83*15%</f>
        <v>402</v>
      </c>
      <c r="H83" s="44">
        <f t="shared" si="17"/>
        <v>53.6</v>
      </c>
      <c r="I83" s="44">
        <f t="shared" si="18"/>
        <v>3028.4</v>
      </c>
    </row>
    <row r="84" spans="1:9" x14ac:dyDescent="0.2">
      <c r="A84" s="17" t="s">
        <v>135</v>
      </c>
      <c r="B84" s="189" t="s">
        <v>350</v>
      </c>
      <c r="C84" s="17" t="s">
        <v>339</v>
      </c>
      <c r="D84" s="69" t="s">
        <v>297</v>
      </c>
      <c r="E84" s="16">
        <f t="shared" si="15"/>
        <v>70851.5</v>
      </c>
      <c r="F84" s="22">
        <v>61610</v>
      </c>
      <c r="G84" s="44">
        <f t="shared" si="21"/>
        <v>9241.5</v>
      </c>
      <c r="H84" s="44">
        <f t="shared" si="17"/>
        <v>1232.2</v>
      </c>
      <c r="I84" s="44">
        <f t="shared" si="18"/>
        <v>69619.3</v>
      </c>
    </row>
    <row r="85" spans="1:9" x14ac:dyDescent="0.2">
      <c r="A85" s="17" t="s">
        <v>351</v>
      </c>
      <c r="B85" s="189" t="s">
        <v>352</v>
      </c>
      <c r="C85" s="17" t="s">
        <v>341</v>
      </c>
      <c r="D85" s="18" t="s">
        <v>279</v>
      </c>
      <c r="E85" s="16">
        <f t="shared" si="15"/>
        <v>138000</v>
      </c>
      <c r="F85" s="16">
        <v>120000</v>
      </c>
      <c r="G85" s="44">
        <f t="shared" si="21"/>
        <v>18000</v>
      </c>
      <c r="H85" s="44">
        <f t="shared" si="17"/>
        <v>2400</v>
      </c>
      <c r="I85" s="44">
        <f t="shared" si="18"/>
        <v>135600</v>
      </c>
    </row>
    <row r="86" spans="1:9" x14ac:dyDescent="0.2">
      <c r="A86" s="17" t="s">
        <v>162</v>
      </c>
      <c r="B86" s="189" t="s">
        <v>352</v>
      </c>
      <c r="C86" s="17" t="s">
        <v>338</v>
      </c>
      <c r="D86" s="190" t="s">
        <v>163</v>
      </c>
      <c r="E86" s="16">
        <f t="shared" si="15"/>
        <v>34500</v>
      </c>
      <c r="F86" s="44">
        <f>12000*2.5</f>
        <v>30000</v>
      </c>
      <c r="G86" s="22">
        <f t="shared" si="21"/>
        <v>4500</v>
      </c>
      <c r="H86" s="44">
        <f t="shared" si="17"/>
        <v>600</v>
      </c>
      <c r="I86" s="44">
        <f t="shared" si="18"/>
        <v>33900</v>
      </c>
    </row>
    <row r="87" spans="1:9" x14ac:dyDescent="0.2">
      <c r="A87" s="17" t="s">
        <v>164</v>
      </c>
      <c r="B87" s="189" t="s">
        <v>352</v>
      </c>
      <c r="C87" s="17" t="s">
        <v>338</v>
      </c>
      <c r="D87" s="44" t="s">
        <v>166</v>
      </c>
      <c r="E87" s="16">
        <f t="shared" si="15"/>
        <v>18566.704000000002</v>
      </c>
      <c r="F87" s="44">
        <f>201812/1000*80</f>
        <v>16144.960000000001</v>
      </c>
      <c r="G87" s="22">
        <f t="shared" si="21"/>
        <v>2421.7440000000001</v>
      </c>
      <c r="H87" s="44">
        <f t="shared" si="17"/>
        <v>322.89920000000001</v>
      </c>
      <c r="I87" s="44">
        <f t="shared" si="18"/>
        <v>18243.804800000002</v>
      </c>
    </row>
    <row r="88" spans="1:9" x14ac:dyDescent="0.2">
      <c r="A88" s="17" t="s">
        <v>167</v>
      </c>
      <c r="B88" s="189" t="s">
        <v>352</v>
      </c>
      <c r="C88" s="17" t="s">
        <v>338</v>
      </c>
      <c r="D88" s="44" t="s">
        <v>169</v>
      </c>
      <c r="E88" s="16">
        <f t="shared" si="15"/>
        <v>4140</v>
      </c>
      <c r="F88" s="5">
        <f>1800*2</f>
        <v>3600</v>
      </c>
      <c r="G88" s="22">
        <f t="shared" si="21"/>
        <v>540</v>
      </c>
      <c r="H88" s="44">
        <f t="shared" si="17"/>
        <v>72</v>
      </c>
      <c r="I88" s="44">
        <f t="shared" si="18"/>
        <v>4068</v>
      </c>
    </row>
    <row r="89" spans="1:9" x14ac:dyDescent="0.2">
      <c r="A89" s="17" t="s">
        <v>167</v>
      </c>
      <c r="B89" s="189" t="s">
        <v>352</v>
      </c>
      <c r="C89" s="17" t="s">
        <v>338</v>
      </c>
      <c r="D89" s="44" t="s">
        <v>171</v>
      </c>
      <c r="E89" s="16">
        <f t="shared" si="15"/>
        <v>23000</v>
      </c>
      <c r="F89" s="44">
        <f>250000/1000*80</f>
        <v>20000</v>
      </c>
      <c r="G89" s="22">
        <f t="shared" si="21"/>
        <v>3000</v>
      </c>
      <c r="H89" s="44">
        <f t="shared" si="17"/>
        <v>400</v>
      </c>
      <c r="I89" s="44">
        <f t="shared" si="18"/>
        <v>22600</v>
      </c>
    </row>
    <row r="90" spans="1:9" x14ac:dyDescent="0.2">
      <c r="A90" s="20" t="s">
        <v>164</v>
      </c>
      <c r="B90" s="189" t="s">
        <v>352</v>
      </c>
      <c r="C90" s="17" t="s">
        <v>338</v>
      </c>
      <c r="D90" s="44" t="s">
        <v>173</v>
      </c>
      <c r="E90" s="16">
        <f t="shared" si="15"/>
        <v>7187.5</v>
      </c>
      <c r="F90" s="44">
        <f>2500*2.5</f>
        <v>6250</v>
      </c>
      <c r="G90" s="22">
        <f t="shared" si="21"/>
        <v>937.5</v>
      </c>
      <c r="H90" s="44">
        <f t="shared" si="17"/>
        <v>125</v>
      </c>
      <c r="I90" s="44">
        <f t="shared" si="18"/>
        <v>7062.5</v>
      </c>
    </row>
    <row r="91" spans="1:9" x14ac:dyDescent="0.2">
      <c r="A91" s="20" t="s">
        <v>263</v>
      </c>
      <c r="B91" s="189" t="s">
        <v>345</v>
      </c>
      <c r="C91" s="17" t="s">
        <v>9</v>
      </c>
      <c r="D91" s="97" t="s">
        <v>354</v>
      </c>
      <c r="E91" s="16">
        <f t="shared" si="15"/>
        <v>129061.05</v>
      </c>
      <c r="F91" s="98">
        <v>112227</v>
      </c>
      <c r="G91" s="44">
        <f t="shared" si="21"/>
        <v>16834.05</v>
      </c>
      <c r="H91" s="44">
        <f t="shared" si="17"/>
        <v>2244.54</v>
      </c>
      <c r="I91" s="44">
        <f t="shared" si="18"/>
        <v>126816.51000000001</v>
      </c>
    </row>
    <row r="92" spans="1:9" x14ac:dyDescent="0.2">
      <c r="A92" s="20" t="s">
        <v>263</v>
      </c>
      <c r="B92" s="189" t="s">
        <v>333</v>
      </c>
      <c r="C92" s="17" t="s">
        <v>9</v>
      </c>
      <c r="D92" s="97" t="s">
        <v>355</v>
      </c>
      <c r="E92" s="16">
        <f t="shared" si="15"/>
        <v>38982</v>
      </c>
      <c r="F92" s="98">
        <f>584*66.75</f>
        <v>38982</v>
      </c>
      <c r="G92" s="44">
        <v>0</v>
      </c>
      <c r="H92" s="44">
        <v>0</v>
      </c>
      <c r="I92" s="44">
        <f t="shared" si="18"/>
        <v>38982</v>
      </c>
    </row>
    <row r="93" spans="1:9" x14ac:dyDescent="0.2">
      <c r="A93" s="20" t="s">
        <v>263</v>
      </c>
      <c r="B93" s="189" t="s">
        <v>340</v>
      </c>
      <c r="C93" s="17" t="s">
        <v>9</v>
      </c>
      <c r="D93" s="97" t="s">
        <v>356</v>
      </c>
      <c r="E93" s="16">
        <f t="shared" si="15"/>
        <v>116812.5</v>
      </c>
      <c r="F93" s="98">
        <f>1750*66.75</f>
        <v>116812.5</v>
      </c>
      <c r="G93" s="44">
        <v>0</v>
      </c>
      <c r="H93" s="44">
        <v>0</v>
      </c>
      <c r="I93" s="44">
        <f t="shared" si="18"/>
        <v>116812.5</v>
      </c>
    </row>
    <row r="94" spans="1:9" x14ac:dyDescent="0.2">
      <c r="A94" s="20" t="s">
        <v>263</v>
      </c>
      <c r="B94" s="189" t="s">
        <v>350</v>
      </c>
      <c r="C94" s="17" t="s">
        <v>9</v>
      </c>
      <c r="D94" s="97" t="s">
        <v>357</v>
      </c>
      <c r="E94" s="16">
        <f t="shared" si="15"/>
        <v>88777.5</v>
      </c>
      <c r="F94" s="98">
        <f>1330*66.75</f>
        <v>88777.5</v>
      </c>
      <c r="G94" s="44">
        <v>0</v>
      </c>
      <c r="H94" s="44">
        <v>0</v>
      </c>
      <c r="I94" s="44">
        <f t="shared" si="18"/>
        <v>88777.5</v>
      </c>
    </row>
    <row r="95" spans="1:9" x14ac:dyDescent="0.2">
      <c r="A95" s="17" t="s">
        <v>205</v>
      </c>
      <c r="B95" s="189" t="s">
        <v>340</v>
      </c>
      <c r="C95" s="17" t="s">
        <v>335</v>
      </c>
      <c r="D95" s="86" t="s">
        <v>207</v>
      </c>
      <c r="E95" s="16">
        <f t="shared" si="15"/>
        <v>2875</v>
      </c>
      <c r="F95" s="44">
        <f>500*5</f>
        <v>2500</v>
      </c>
      <c r="G95" s="44">
        <f>F95*15%</f>
        <v>375</v>
      </c>
      <c r="H95" s="44">
        <f t="shared" si="17"/>
        <v>50</v>
      </c>
      <c r="I95" s="44">
        <f t="shared" si="18"/>
        <v>2825</v>
      </c>
    </row>
    <row r="96" spans="1:9" x14ac:dyDescent="0.2">
      <c r="A96" s="17" t="s">
        <v>205</v>
      </c>
      <c r="B96" s="189" t="s">
        <v>340</v>
      </c>
      <c r="C96" s="17" t="s">
        <v>335</v>
      </c>
      <c r="D96" s="86" t="s">
        <v>209</v>
      </c>
      <c r="E96" s="16">
        <f t="shared" si="15"/>
        <v>2875</v>
      </c>
      <c r="F96" s="44">
        <f>500*5</f>
        <v>2500</v>
      </c>
      <c r="G96" s="44">
        <f t="shared" ref="G96:G129" si="22">F96*15%</f>
        <v>375</v>
      </c>
      <c r="H96" s="44">
        <f t="shared" si="17"/>
        <v>50</v>
      </c>
      <c r="I96" s="44">
        <f t="shared" si="18"/>
        <v>2825</v>
      </c>
    </row>
    <row r="97" spans="1:9" x14ac:dyDescent="0.2">
      <c r="A97" s="17" t="s">
        <v>205</v>
      </c>
      <c r="B97" s="189" t="s">
        <v>352</v>
      </c>
      <c r="C97" s="17" t="s">
        <v>335</v>
      </c>
      <c r="D97" s="86" t="s">
        <v>211</v>
      </c>
      <c r="E97" s="16">
        <f t="shared" si="15"/>
        <v>32343.75</v>
      </c>
      <c r="F97" s="44">
        <f>625000/1000*45</f>
        <v>28125</v>
      </c>
      <c r="G97" s="44">
        <f t="shared" si="22"/>
        <v>4218.75</v>
      </c>
      <c r="H97" s="44">
        <f t="shared" si="17"/>
        <v>562.5</v>
      </c>
      <c r="I97" s="44">
        <f t="shared" si="18"/>
        <v>31781.25</v>
      </c>
    </row>
    <row r="98" spans="1:9" x14ac:dyDescent="0.2">
      <c r="A98" s="17" t="s">
        <v>205</v>
      </c>
      <c r="B98" s="189" t="s">
        <v>352</v>
      </c>
      <c r="C98" s="17" t="s">
        <v>335</v>
      </c>
      <c r="D98" s="86" t="s">
        <v>213</v>
      </c>
      <c r="E98" s="16">
        <f t="shared" si="15"/>
        <v>32343.75</v>
      </c>
      <c r="F98" s="44">
        <f>625000/1000*45</f>
        <v>28125</v>
      </c>
      <c r="G98" s="44">
        <f t="shared" si="22"/>
        <v>4218.75</v>
      </c>
      <c r="H98" s="44">
        <f t="shared" si="17"/>
        <v>562.5</v>
      </c>
      <c r="I98" s="44">
        <f t="shared" si="18"/>
        <v>31781.25</v>
      </c>
    </row>
    <row r="99" spans="1:9" x14ac:dyDescent="0.2">
      <c r="A99" s="17" t="s">
        <v>205</v>
      </c>
      <c r="B99" s="189" t="s">
        <v>352</v>
      </c>
      <c r="C99" s="17" t="s">
        <v>335</v>
      </c>
      <c r="D99" s="86" t="s">
        <v>215</v>
      </c>
      <c r="E99" s="16">
        <f t="shared" si="15"/>
        <v>62100</v>
      </c>
      <c r="F99" s="44">
        <f>1200000/1000*45</f>
        <v>54000</v>
      </c>
      <c r="G99" s="44">
        <f t="shared" si="22"/>
        <v>8100</v>
      </c>
      <c r="H99" s="44">
        <f t="shared" si="17"/>
        <v>1080</v>
      </c>
      <c r="I99" s="44">
        <f t="shared" si="18"/>
        <v>61020</v>
      </c>
    </row>
    <row r="100" spans="1:9" x14ac:dyDescent="0.2">
      <c r="A100" s="17" t="s">
        <v>205</v>
      </c>
      <c r="B100" s="189" t="s">
        <v>352</v>
      </c>
      <c r="C100" s="17" t="s">
        <v>335</v>
      </c>
      <c r="D100" s="86" t="s">
        <v>217</v>
      </c>
      <c r="E100" s="16">
        <f t="shared" si="15"/>
        <v>62100</v>
      </c>
      <c r="F100" s="44">
        <f>1200000/1000*45</f>
        <v>54000</v>
      </c>
      <c r="G100" s="44">
        <f t="shared" si="22"/>
        <v>8100</v>
      </c>
      <c r="H100" s="44">
        <f t="shared" si="17"/>
        <v>1080</v>
      </c>
      <c r="I100" s="44">
        <f t="shared" si="18"/>
        <v>61020</v>
      </c>
    </row>
    <row r="101" spans="1:9" x14ac:dyDescent="0.2">
      <c r="A101" s="17" t="s">
        <v>205</v>
      </c>
      <c r="B101" s="189" t="s">
        <v>352</v>
      </c>
      <c r="C101" s="17" t="s">
        <v>335</v>
      </c>
      <c r="D101" s="86" t="s">
        <v>219</v>
      </c>
      <c r="E101" s="16">
        <f t="shared" si="15"/>
        <v>116437.5</v>
      </c>
      <c r="F101" s="44">
        <f>2250000/1000*45</f>
        <v>101250</v>
      </c>
      <c r="G101" s="44">
        <f t="shared" si="22"/>
        <v>15187.5</v>
      </c>
      <c r="H101" s="44">
        <f t="shared" si="17"/>
        <v>2025</v>
      </c>
      <c r="I101" s="44">
        <f t="shared" si="18"/>
        <v>114412.5</v>
      </c>
    </row>
    <row r="102" spans="1:9" x14ac:dyDescent="0.2">
      <c r="A102" s="17" t="s">
        <v>205</v>
      </c>
      <c r="B102" s="189" t="s">
        <v>352</v>
      </c>
      <c r="C102" s="17" t="s">
        <v>335</v>
      </c>
      <c r="D102" s="86" t="s">
        <v>221</v>
      </c>
      <c r="E102" s="16">
        <f t="shared" si="15"/>
        <v>155250</v>
      </c>
      <c r="F102" s="44">
        <f>3000000/1000*45</f>
        <v>135000</v>
      </c>
      <c r="G102" s="44">
        <f t="shared" si="22"/>
        <v>20250</v>
      </c>
      <c r="H102" s="44">
        <f t="shared" si="17"/>
        <v>2700</v>
      </c>
      <c r="I102" s="44">
        <f t="shared" si="18"/>
        <v>152550</v>
      </c>
    </row>
    <row r="103" spans="1:9" x14ac:dyDescent="0.2">
      <c r="A103" s="17" t="s">
        <v>205</v>
      </c>
      <c r="B103" s="189" t="s">
        <v>352</v>
      </c>
      <c r="C103" s="17" t="s">
        <v>335</v>
      </c>
      <c r="D103" s="86" t="s">
        <v>223</v>
      </c>
      <c r="E103" s="16">
        <f t="shared" si="15"/>
        <v>64687.5</v>
      </c>
      <c r="F103" s="44">
        <f>1250000/1000*45</f>
        <v>56250</v>
      </c>
      <c r="G103" s="44">
        <f t="shared" si="22"/>
        <v>8437.5</v>
      </c>
      <c r="H103" s="44">
        <f t="shared" si="17"/>
        <v>1125</v>
      </c>
      <c r="I103" s="44">
        <f t="shared" si="18"/>
        <v>63562.5</v>
      </c>
    </row>
    <row r="104" spans="1:9" x14ac:dyDescent="0.2">
      <c r="A104" s="17" t="s">
        <v>205</v>
      </c>
      <c r="B104" s="189" t="s">
        <v>352</v>
      </c>
      <c r="C104" s="17" t="s">
        <v>335</v>
      </c>
      <c r="D104" s="86" t="s">
        <v>225</v>
      </c>
      <c r="E104" s="16">
        <f t="shared" si="15"/>
        <v>94090.9185</v>
      </c>
      <c r="F104" s="44">
        <f>1818182/1000*45</f>
        <v>81818.19</v>
      </c>
      <c r="G104" s="44">
        <f t="shared" si="22"/>
        <v>12272.728499999999</v>
      </c>
      <c r="H104" s="44">
        <f t="shared" si="17"/>
        <v>1636.3638000000001</v>
      </c>
      <c r="I104" s="44">
        <f t="shared" si="18"/>
        <v>92454.554699999993</v>
      </c>
    </row>
    <row r="105" spans="1:9" x14ac:dyDescent="0.2">
      <c r="A105" s="17" t="s">
        <v>205</v>
      </c>
      <c r="B105" s="189" t="s">
        <v>352</v>
      </c>
      <c r="C105" s="17" t="s">
        <v>335</v>
      </c>
      <c r="D105" s="86" t="s">
        <v>227</v>
      </c>
      <c r="E105" s="16">
        <f t="shared" si="15"/>
        <v>31050</v>
      </c>
      <c r="F105" s="44">
        <f>600000/1000*45</f>
        <v>27000</v>
      </c>
      <c r="G105" s="44">
        <f t="shared" si="22"/>
        <v>4050</v>
      </c>
      <c r="H105" s="44">
        <f t="shared" si="17"/>
        <v>540</v>
      </c>
      <c r="I105" s="44">
        <f t="shared" si="18"/>
        <v>30510</v>
      </c>
    </row>
    <row r="106" spans="1:9" x14ac:dyDescent="0.2">
      <c r="A106" s="17" t="s">
        <v>205</v>
      </c>
      <c r="B106" s="189" t="s">
        <v>352</v>
      </c>
      <c r="C106" s="17" t="s">
        <v>335</v>
      </c>
      <c r="D106" s="86" t="s">
        <v>229</v>
      </c>
      <c r="E106" s="16">
        <f t="shared" si="15"/>
        <v>207000</v>
      </c>
      <c r="F106" s="44">
        <f>4000000/1000*45</f>
        <v>180000</v>
      </c>
      <c r="G106" s="44">
        <f t="shared" si="22"/>
        <v>27000</v>
      </c>
      <c r="H106" s="44">
        <f t="shared" si="17"/>
        <v>3600</v>
      </c>
      <c r="I106" s="44">
        <f t="shared" si="18"/>
        <v>203400</v>
      </c>
    </row>
    <row r="107" spans="1:9" x14ac:dyDescent="0.2">
      <c r="A107" s="17" t="s">
        <v>205</v>
      </c>
      <c r="B107" s="189" t="s">
        <v>352</v>
      </c>
      <c r="C107" s="17" t="s">
        <v>335</v>
      </c>
      <c r="D107" s="86" t="s">
        <v>231</v>
      </c>
      <c r="E107" s="16">
        <f t="shared" si="15"/>
        <v>20700</v>
      </c>
      <c r="F107" s="44">
        <f>400000/1000*45</f>
        <v>18000</v>
      </c>
      <c r="G107" s="44">
        <f t="shared" si="22"/>
        <v>2700</v>
      </c>
      <c r="H107" s="44">
        <f t="shared" si="17"/>
        <v>360</v>
      </c>
      <c r="I107" s="44">
        <f t="shared" si="18"/>
        <v>20340</v>
      </c>
    </row>
    <row r="108" spans="1:9" x14ac:dyDescent="0.2">
      <c r="A108" s="17" t="s">
        <v>205</v>
      </c>
      <c r="B108" s="189" t="s">
        <v>352</v>
      </c>
      <c r="C108" s="17" t="s">
        <v>335</v>
      </c>
      <c r="D108" s="86" t="s">
        <v>233</v>
      </c>
      <c r="E108" s="16">
        <f t="shared" si="15"/>
        <v>25875</v>
      </c>
      <c r="F108" s="44">
        <f>500000/1000*45</f>
        <v>22500</v>
      </c>
      <c r="G108" s="44">
        <f t="shared" si="22"/>
        <v>3375</v>
      </c>
      <c r="H108" s="44">
        <f t="shared" si="17"/>
        <v>450</v>
      </c>
      <c r="I108" s="44">
        <f t="shared" si="18"/>
        <v>25425</v>
      </c>
    </row>
    <row r="109" spans="1:9" x14ac:dyDescent="0.2">
      <c r="A109" s="17" t="s">
        <v>205</v>
      </c>
      <c r="B109" s="189" t="s">
        <v>352</v>
      </c>
      <c r="C109" s="17" t="s">
        <v>335</v>
      </c>
      <c r="D109" s="86" t="s">
        <v>235</v>
      </c>
      <c r="E109" s="16">
        <f t="shared" si="15"/>
        <v>25875</v>
      </c>
      <c r="F109" s="44">
        <f>500000/1000*45</f>
        <v>22500</v>
      </c>
      <c r="G109" s="44">
        <f t="shared" si="22"/>
        <v>3375</v>
      </c>
      <c r="H109" s="44">
        <f t="shared" si="17"/>
        <v>450</v>
      </c>
      <c r="I109" s="44">
        <f t="shared" si="18"/>
        <v>25425</v>
      </c>
    </row>
    <row r="110" spans="1:9" x14ac:dyDescent="0.2">
      <c r="A110" s="17" t="s">
        <v>205</v>
      </c>
      <c r="B110" s="189" t="s">
        <v>352</v>
      </c>
      <c r="C110" s="17" t="s">
        <v>335</v>
      </c>
      <c r="D110" s="86" t="s">
        <v>237</v>
      </c>
      <c r="E110" s="16">
        <f t="shared" si="15"/>
        <v>10350</v>
      </c>
      <c r="F110" s="44">
        <f>200000/1000*45</f>
        <v>9000</v>
      </c>
      <c r="G110" s="44">
        <f t="shared" si="22"/>
        <v>1350</v>
      </c>
      <c r="H110" s="44">
        <f t="shared" si="17"/>
        <v>180</v>
      </c>
      <c r="I110" s="44">
        <f t="shared" si="18"/>
        <v>10170</v>
      </c>
    </row>
    <row r="111" spans="1:9" x14ac:dyDescent="0.2">
      <c r="A111" s="17" t="s">
        <v>205</v>
      </c>
      <c r="B111" s="189" t="s">
        <v>352</v>
      </c>
      <c r="C111" s="17" t="s">
        <v>335</v>
      </c>
      <c r="D111" s="86" t="s">
        <v>239</v>
      </c>
      <c r="E111" s="16">
        <f t="shared" si="15"/>
        <v>86422.5</v>
      </c>
      <c r="F111" s="44">
        <f>1670000/1000*45</f>
        <v>75150</v>
      </c>
      <c r="G111" s="44">
        <f t="shared" si="22"/>
        <v>11272.5</v>
      </c>
      <c r="H111" s="44">
        <f t="shared" si="17"/>
        <v>1503</v>
      </c>
      <c r="I111" s="44">
        <f t="shared" si="18"/>
        <v>84919.5</v>
      </c>
    </row>
    <row r="112" spans="1:9" x14ac:dyDescent="0.2">
      <c r="A112" s="17" t="s">
        <v>205</v>
      </c>
      <c r="B112" s="189" t="s">
        <v>352</v>
      </c>
      <c r="C112" s="17" t="s">
        <v>335</v>
      </c>
      <c r="D112" s="86" t="s">
        <v>241</v>
      </c>
      <c r="E112" s="16">
        <f t="shared" si="15"/>
        <v>25875</v>
      </c>
      <c r="F112" s="44">
        <f>500000/1000*45</f>
        <v>22500</v>
      </c>
      <c r="G112" s="44">
        <f t="shared" si="22"/>
        <v>3375</v>
      </c>
      <c r="H112" s="44">
        <f t="shared" si="17"/>
        <v>450</v>
      </c>
      <c r="I112" s="44">
        <f t="shared" si="18"/>
        <v>25425</v>
      </c>
    </row>
    <row r="113" spans="1:9" x14ac:dyDescent="0.2">
      <c r="A113" s="17" t="s">
        <v>205</v>
      </c>
      <c r="B113" s="189" t="s">
        <v>358</v>
      </c>
      <c r="C113" s="17" t="s">
        <v>335</v>
      </c>
      <c r="D113" s="86" t="s">
        <v>242</v>
      </c>
      <c r="E113" s="16">
        <f t="shared" si="15"/>
        <v>1207.5</v>
      </c>
      <c r="F113" s="44">
        <f>210*5</f>
        <v>1050</v>
      </c>
      <c r="G113" s="44">
        <f t="shared" si="22"/>
        <v>157.5</v>
      </c>
      <c r="H113" s="44">
        <f t="shared" si="17"/>
        <v>21</v>
      </c>
      <c r="I113" s="44">
        <f t="shared" si="18"/>
        <v>1186.5</v>
      </c>
    </row>
    <row r="114" spans="1:9" x14ac:dyDescent="0.2">
      <c r="A114" s="17" t="s">
        <v>205</v>
      </c>
      <c r="B114" s="189" t="s">
        <v>358</v>
      </c>
      <c r="C114" s="17" t="s">
        <v>335</v>
      </c>
      <c r="D114" s="86" t="s">
        <v>243</v>
      </c>
      <c r="E114" s="16">
        <f t="shared" si="15"/>
        <v>2248.25</v>
      </c>
      <c r="F114" s="44">
        <f>391*5</f>
        <v>1955</v>
      </c>
      <c r="G114" s="44">
        <f t="shared" si="22"/>
        <v>293.25</v>
      </c>
      <c r="H114" s="44">
        <f t="shared" si="17"/>
        <v>39.1</v>
      </c>
      <c r="I114" s="44">
        <f t="shared" si="18"/>
        <v>2209.15</v>
      </c>
    </row>
    <row r="115" spans="1:9" x14ac:dyDescent="0.2">
      <c r="A115" s="17" t="s">
        <v>205</v>
      </c>
      <c r="B115" s="189" t="s">
        <v>352</v>
      </c>
      <c r="C115" s="17" t="s">
        <v>15</v>
      </c>
      <c r="D115" s="69" t="s">
        <v>309</v>
      </c>
      <c r="E115" s="16">
        <f t="shared" si="15"/>
        <v>75856.3</v>
      </c>
      <c r="F115" s="22">
        <v>65962</v>
      </c>
      <c r="G115" s="44">
        <f t="shared" si="22"/>
        <v>9894.2999999999993</v>
      </c>
      <c r="H115" s="44">
        <f t="shared" si="17"/>
        <v>1319.24</v>
      </c>
      <c r="I115" s="44">
        <f t="shared" si="18"/>
        <v>74537.06</v>
      </c>
    </row>
    <row r="116" spans="1:9" x14ac:dyDescent="0.2">
      <c r="A116" s="17" t="s">
        <v>205</v>
      </c>
      <c r="B116" s="189" t="s">
        <v>352</v>
      </c>
      <c r="C116" s="17" t="s">
        <v>341</v>
      </c>
      <c r="D116" s="18" t="s">
        <v>281</v>
      </c>
      <c r="E116" s="16">
        <f t="shared" si="15"/>
        <v>13524.69</v>
      </c>
      <c r="F116" s="192">
        <f>69180*0.17</f>
        <v>11760.6</v>
      </c>
      <c r="G116" s="44">
        <f t="shared" si="22"/>
        <v>1764.09</v>
      </c>
      <c r="H116" s="44">
        <f t="shared" si="17"/>
        <v>235.21200000000002</v>
      </c>
      <c r="I116" s="44">
        <f t="shared" si="18"/>
        <v>13289.478000000001</v>
      </c>
    </row>
    <row r="117" spans="1:9" x14ac:dyDescent="0.2">
      <c r="A117" s="17" t="s">
        <v>304</v>
      </c>
      <c r="B117" s="189" t="s">
        <v>340</v>
      </c>
      <c r="C117" s="17" t="s">
        <v>14</v>
      </c>
      <c r="D117" s="44" t="s">
        <v>305</v>
      </c>
      <c r="E117" s="16">
        <f t="shared" si="15"/>
        <v>15995.35</v>
      </c>
      <c r="F117" s="44">
        <v>13909</v>
      </c>
      <c r="G117" s="44">
        <f t="shared" si="22"/>
        <v>2086.35</v>
      </c>
      <c r="H117" s="44">
        <f t="shared" si="17"/>
        <v>278.18</v>
      </c>
      <c r="I117" s="44">
        <f t="shared" si="18"/>
        <v>15717.17</v>
      </c>
    </row>
    <row r="118" spans="1:9" x14ac:dyDescent="0.2">
      <c r="A118" s="17" t="s">
        <v>304</v>
      </c>
      <c r="B118" s="189" t="s">
        <v>350</v>
      </c>
      <c r="C118" s="17" t="s">
        <v>324</v>
      </c>
      <c r="D118" s="69" t="s">
        <v>325</v>
      </c>
      <c r="E118" s="16">
        <f t="shared" si="15"/>
        <v>10143</v>
      </c>
      <c r="F118" s="22">
        <v>8820</v>
      </c>
      <c r="G118" s="44">
        <f t="shared" si="22"/>
        <v>1323</v>
      </c>
      <c r="H118" s="44">
        <f t="shared" si="17"/>
        <v>176.4</v>
      </c>
      <c r="I118" s="44">
        <f t="shared" si="18"/>
        <v>9966.6</v>
      </c>
    </row>
    <row r="119" spans="1:9" x14ac:dyDescent="0.2">
      <c r="A119" s="17" t="s">
        <v>304</v>
      </c>
      <c r="B119" s="189" t="s">
        <v>350</v>
      </c>
      <c r="C119" s="17" t="s">
        <v>342</v>
      </c>
      <c r="D119" s="44" t="s">
        <v>359</v>
      </c>
      <c r="E119" s="16">
        <f t="shared" si="15"/>
        <v>133030.85</v>
      </c>
      <c r="F119" s="44">
        <v>115679</v>
      </c>
      <c r="G119" s="44">
        <f t="shared" si="22"/>
        <v>17351.849999999999</v>
      </c>
      <c r="H119" s="44">
        <f t="shared" si="17"/>
        <v>2313.58</v>
      </c>
      <c r="I119" s="44">
        <f t="shared" si="18"/>
        <v>130717.27</v>
      </c>
    </row>
    <row r="120" spans="1:9" x14ac:dyDescent="0.2">
      <c r="A120" s="17" t="s">
        <v>304</v>
      </c>
      <c r="B120" s="189" t="s">
        <v>350</v>
      </c>
      <c r="C120" s="17" t="s">
        <v>14</v>
      </c>
      <c r="D120" s="44" t="s">
        <v>361</v>
      </c>
      <c r="E120" s="16">
        <f t="shared" si="15"/>
        <v>10074</v>
      </c>
      <c r="F120" s="44">
        <v>8760</v>
      </c>
      <c r="G120" s="44">
        <f t="shared" si="22"/>
        <v>1314</v>
      </c>
      <c r="H120" s="44">
        <f t="shared" si="17"/>
        <v>175.20000000000002</v>
      </c>
      <c r="I120" s="44">
        <f t="shared" si="18"/>
        <v>9898.7999999999993</v>
      </c>
    </row>
    <row r="121" spans="1:9" x14ac:dyDescent="0.2">
      <c r="A121" s="17" t="s">
        <v>304</v>
      </c>
      <c r="B121" s="189" t="s">
        <v>350</v>
      </c>
      <c r="C121" s="17" t="s">
        <v>330</v>
      </c>
      <c r="D121" s="69" t="s">
        <v>362</v>
      </c>
      <c r="E121" s="16">
        <f t="shared" si="15"/>
        <v>313302.55</v>
      </c>
      <c r="F121" s="22">
        <v>272437</v>
      </c>
      <c r="G121" s="16">
        <f t="shared" si="22"/>
        <v>40865.549999999996</v>
      </c>
      <c r="H121" s="44">
        <f t="shared" si="17"/>
        <v>5448.74</v>
      </c>
      <c r="I121" s="44">
        <f t="shared" si="18"/>
        <v>307853.81</v>
      </c>
    </row>
    <row r="122" spans="1:9" x14ac:dyDescent="0.2">
      <c r="A122" s="17" t="s">
        <v>366</v>
      </c>
      <c r="B122" s="189" t="s">
        <v>340</v>
      </c>
      <c r="C122" s="17" t="s">
        <v>9</v>
      </c>
      <c r="D122" s="97" t="s">
        <v>365</v>
      </c>
      <c r="E122" s="16">
        <f t="shared" si="15"/>
        <v>5061.1499999999996</v>
      </c>
      <c r="F122" s="98">
        <v>4401</v>
      </c>
      <c r="G122" s="44">
        <f t="shared" si="22"/>
        <v>660.15</v>
      </c>
      <c r="H122" s="44">
        <f t="shared" si="17"/>
        <v>88.02</v>
      </c>
      <c r="I122" s="44">
        <f t="shared" si="18"/>
        <v>4973.1299999999992</v>
      </c>
    </row>
    <row r="123" spans="1:9" x14ac:dyDescent="0.2">
      <c r="A123" s="17" t="s">
        <v>366</v>
      </c>
      <c r="B123" s="189" t="s">
        <v>352</v>
      </c>
      <c r="C123" s="17" t="s">
        <v>334</v>
      </c>
      <c r="D123" s="20" t="s">
        <v>109</v>
      </c>
      <c r="E123" s="16">
        <f t="shared" si="15"/>
        <v>13912.7</v>
      </c>
      <c r="F123" s="22">
        <v>12098</v>
      </c>
      <c r="G123" s="22">
        <f t="shared" si="22"/>
        <v>1814.7</v>
      </c>
      <c r="H123" s="44">
        <f t="shared" si="17"/>
        <v>241.96</v>
      </c>
      <c r="I123" s="44">
        <f t="shared" si="18"/>
        <v>13670.740000000002</v>
      </c>
    </row>
    <row r="124" spans="1:9" x14ac:dyDescent="0.2">
      <c r="A124" s="17" t="s">
        <v>370</v>
      </c>
      <c r="B124" s="189" t="s">
        <v>352</v>
      </c>
      <c r="C124" s="17" t="s">
        <v>339</v>
      </c>
      <c r="D124" s="69" t="s">
        <v>369</v>
      </c>
      <c r="E124" s="16">
        <f t="shared" si="15"/>
        <v>31588.2</v>
      </c>
      <c r="F124" s="22">
        <v>27468</v>
      </c>
      <c r="G124" s="44">
        <f t="shared" si="22"/>
        <v>4120.2</v>
      </c>
      <c r="H124" s="44">
        <f t="shared" si="17"/>
        <v>549.36</v>
      </c>
      <c r="I124" s="44">
        <f t="shared" si="18"/>
        <v>31038.84</v>
      </c>
    </row>
    <row r="125" spans="1:9" x14ac:dyDescent="0.2">
      <c r="A125" s="17" t="s">
        <v>370</v>
      </c>
      <c r="B125" s="189" t="s">
        <v>358</v>
      </c>
      <c r="C125" s="17" t="s">
        <v>335</v>
      </c>
      <c r="D125" s="86" t="s">
        <v>372</v>
      </c>
      <c r="E125" s="16">
        <f t="shared" si="15"/>
        <v>15525</v>
      </c>
      <c r="F125" s="44">
        <v>13500</v>
      </c>
      <c r="G125" s="44">
        <f t="shared" si="22"/>
        <v>2025</v>
      </c>
      <c r="H125" s="44">
        <f t="shared" si="17"/>
        <v>270</v>
      </c>
      <c r="I125" s="44">
        <f t="shared" si="18"/>
        <v>15255</v>
      </c>
    </row>
    <row r="126" spans="1:9" x14ac:dyDescent="0.2">
      <c r="A126" s="17" t="s">
        <v>370</v>
      </c>
      <c r="B126" s="189" t="s">
        <v>352</v>
      </c>
      <c r="C126" s="17" t="s">
        <v>375</v>
      </c>
      <c r="D126" s="69" t="s">
        <v>374</v>
      </c>
      <c r="E126" s="16">
        <f t="shared" si="15"/>
        <v>25564.5</v>
      </c>
      <c r="F126" s="22">
        <v>22230</v>
      </c>
      <c r="G126" s="44">
        <f t="shared" si="22"/>
        <v>3334.5</v>
      </c>
      <c r="H126" s="44">
        <f t="shared" si="17"/>
        <v>444.6</v>
      </c>
      <c r="I126" s="44">
        <f t="shared" si="18"/>
        <v>25119.9</v>
      </c>
    </row>
    <row r="127" spans="1:9" x14ac:dyDescent="0.2">
      <c r="A127" s="17" t="s">
        <v>370</v>
      </c>
      <c r="B127" s="189" t="s">
        <v>350</v>
      </c>
      <c r="C127" s="17" t="s">
        <v>378</v>
      </c>
      <c r="D127" s="69" t="s">
        <v>377</v>
      </c>
      <c r="E127" s="16">
        <f t="shared" si="15"/>
        <v>21531.45</v>
      </c>
      <c r="F127" s="22">
        <v>18723</v>
      </c>
      <c r="G127" s="44">
        <f t="shared" si="22"/>
        <v>2808.45</v>
      </c>
      <c r="H127" s="44">
        <f t="shared" si="17"/>
        <v>374.46</v>
      </c>
      <c r="I127" s="44">
        <f t="shared" si="18"/>
        <v>21156.99</v>
      </c>
    </row>
    <row r="128" spans="1:9" x14ac:dyDescent="0.2">
      <c r="A128" s="17" t="s">
        <v>381</v>
      </c>
      <c r="B128" s="189" t="s">
        <v>358</v>
      </c>
      <c r="C128" s="17" t="s">
        <v>334</v>
      </c>
      <c r="D128" s="20" t="s">
        <v>110</v>
      </c>
      <c r="E128" s="16">
        <f t="shared" si="15"/>
        <v>28750</v>
      </c>
      <c r="F128" s="22">
        <f>10000*2.5</f>
        <v>25000</v>
      </c>
      <c r="G128" s="22">
        <f t="shared" si="22"/>
        <v>3750</v>
      </c>
      <c r="H128" s="44">
        <f t="shared" si="17"/>
        <v>500</v>
      </c>
      <c r="I128" s="44">
        <f t="shared" si="18"/>
        <v>28250</v>
      </c>
    </row>
    <row r="129" spans="1:9" x14ac:dyDescent="0.2">
      <c r="A129" s="17" t="s">
        <v>381</v>
      </c>
      <c r="B129" s="189" t="s">
        <v>358</v>
      </c>
      <c r="C129" s="17" t="s">
        <v>334</v>
      </c>
      <c r="D129" s="20" t="s">
        <v>111</v>
      </c>
      <c r="E129" s="16">
        <f t="shared" si="15"/>
        <v>80305.236000000004</v>
      </c>
      <c r="F129" s="22">
        <f>775896/1000*90</f>
        <v>69830.64</v>
      </c>
      <c r="G129" s="22">
        <f t="shared" si="22"/>
        <v>10474.596</v>
      </c>
      <c r="H129" s="44">
        <f t="shared" ref="H129:H192" si="23">F129*2%</f>
        <v>1396.6128000000001</v>
      </c>
      <c r="I129" s="44">
        <f t="shared" ref="I129:I192" si="24">E129-H129</f>
        <v>78908.623200000002</v>
      </c>
    </row>
    <row r="130" spans="1:9" x14ac:dyDescent="0.2">
      <c r="A130" s="17" t="s">
        <v>385</v>
      </c>
      <c r="B130" s="189" t="s">
        <v>350</v>
      </c>
      <c r="C130" s="17" t="s">
        <v>346</v>
      </c>
      <c r="D130" s="69" t="s">
        <v>384</v>
      </c>
      <c r="E130" s="16">
        <f t="shared" ref="E130:E193" si="25">F130+G130</f>
        <v>119521.8</v>
      </c>
      <c r="F130" s="22">
        <v>103932</v>
      </c>
      <c r="G130" s="44">
        <f>F130*15%</f>
        <v>15589.8</v>
      </c>
      <c r="H130" s="44">
        <f t="shared" si="23"/>
        <v>2078.64</v>
      </c>
      <c r="I130" s="44">
        <f t="shared" si="24"/>
        <v>117443.16</v>
      </c>
    </row>
    <row r="131" spans="1:9" x14ac:dyDescent="0.2">
      <c r="A131" s="17" t="s">
        <v>388</v>
      </c>
      <c r="B131" s="189" t="s">
        <v>358</v>
      </c>
      <c r="C131" s="17" t="s">
        <v>335</v>
      </c>
      <c r="D131" s="86" t="s">
        <v>386</v>
      </c>
      <c r="E131" s="16">
        <f t="shared" si="25"/>
        <v>90562.5</v>
      </c>
      <c r="F131" s="44">
        <f>1750000/1000*45</f>
        <v>78750</v>
      </c>
      <c r="G131" s="44">
        <f t="shared" ref="G131" si="26">F131*15%</f>
        <v>11812.5</v>
      </c>
      <c r="H131" s="44">
        <f t="shared" si="23"/>
        <v>1575</v>
      </c>
      <c r="I131" s="44">
        <f t="shared" si="24"/>
        <v>88987.5</v>
      </c>
    </row>
    <row r="132" spans="1:9" x14ac:dyDescent="0.2">
      <c r="A132" s="17" t="s">
        <v>391</v>
      </c>
      <c r="B132" s="189" t="s">
        <v>392</v>
      </c>
      <c r="C132" s="17" t="s">
        <v>389</v>
      </c>
      <c r="D132" s="22" t="s">
        <v>390</v>
      </c>
      <c r="E132" s="16">
        <f t="shared" si="25"/>
        <v>8692.85</v>
      </c>
      <c r="F132" s="22">
        <v>7559</v>
      </c>
      <c r="G132" s="44">
        <f>F132*15%</f>
        <v>1133.8499999999999</v>
      </c>
      <c r="H132" s="44">
        <f t="shared" si="23"/>
        <v>151.18</v>
      </c>
      <c r="I132" s="44">
        <f t="shared" si="24"/>
        <v>8541.67</v>
      </c>
    </row>
    <row r="133" spans="1:9" x14ac:dyDescent="0.2">
      <c r="A133" s="17" t="s">
        <v>397</v>
      </c>
      <c r="B133" s="189" t="s">
        <v>352</v>
      </c>
      <c r="C133" s="17" t="s">
        <v>342</v>
      </c>
      <c r="D133" s="44" t="s">
        <v>396</v>
      </c>
      <c r="E133" s="16">
        <f t="shared" si="25"/>
        <v>98640.1</v>
      </c>
      <c r="F133" s="44">
        <v>85774</v>
      </c>
      <c r="G133" s="44">
        <f t="shared" ref="G133:G153" si="27">F133*15%</f>
        <v>12866.1</v>
      </c>
      <c r="H133" s="44">
        <f t="shared" si="23"/>
        <v>1715.48</v>
      </c>
      <c r="I133" s="44">
        <f t="shared" si="24"/>
        <v>96924.62000000001</v>
      </c>
    </row>
    <row r="134" spans="1:9" x14ac:dyDescent="0.2">
      <c r="A134" s="17" t="s">
        <v>400</v>
      </c>
      <c r="B134" s="189" t="s">
        <v>358</v>
      </c>
      <c r="C134" s="17" t="s">
        <v>339</v>
      </c>
      <c r="D134" s="69" t="s">
        <v>399</v>
      </c>
      <c r="E134" s="16">
        <f t="shared" si="25"/>
        <v>40884.800000000003</v>
      </c>
      <c r="F134" s="22">
        <v>35552</v>
      </c>
      <c r="G134" s="44">
        <f t="shared" si="27"/>
        <v>5332.8</v>
      </c>
      <c r="H134" s="44">
        <f t="shared" si="23"/>
        <v>711.04</v>
      </c>
      <c r="I134" s="44">
        <f t="shared" si="24"/>
        <v>40173.760000000002</v>
      </c>
    </row>
    <row r="135" spans="1:9" x14ac:dyDescent="0.2">
      <c r="A135" s="17" t="s">
        <v>403</v>
      </c>
      <c r="B135" s="189" t="s">
        <v>404</v>
      </c>
      <c r="C135" s="17" t="s">
        <v>334</v>
      </c>
      <c r="D135" s="20" t="s">
        <v>112</v>
      </c>
      <c r="E135" s="16">
        <f t="shared" si="25"/>
        <v>31050</v>
      </c>
      <c r="F135" s="22">
        <f>300000/1000*90</f>
        <v>27000</v>
      </c>
      <c r="G135" s="22">
        <f t="shared" si="27"/>
        <v>4050</v>
      </c>
      <c r="H135" s="44">
        <f t="shared" si="23"/>
        <v>540</v>
      </c>
      <c r="I135" s="44">
        <f t="shared" si="24"/>
        <v>30510</v>
      </c>
    </row>
    <row r="136" spans="1:9" x14ac:dyDescent="0.2">
      <c r="A136" s="17" t="s">
        <v>406</v>
      </c>
      <c r="B136" s="189" t="s">
        <v>352</v>
      </c>
      <c r="C136" s="17" t="s">
        <v>330</v>
      </c>
      <c r="D136" s="69" t="s">
        <v>405</v>
      </c>
      <c r="E136" s="16">
        <f t="shared" si="25"/>
        <v>110900.25</v>
      </c>
      <c r="F136" s="22">
        <v>96435</v>
      </c>
      <c r="G136" s="16">
        <f t="shared" si="27"/>
        <v>14465.25</v>
      </c>
      <c r="H136" s="44">
        <f t="shared" si="23"/>
        <v>1928.7</v>
      </c>
      <c r="I136" s="44">
        <f t="shared" si="24"/>
        <v>108971.55</v>
      </c>
    </row>
    <row r="137" spans="1:9" x14ac:dyDescent="0.2">
      <c r="A137" s="17" t="s">
        <v>430</v>
      </c>
      <c r="B137" s="189" t="s">
        <v>404</v>
      </c>
      <c r="C137" s="17" t="s">
        <v>334</v>
      </c>
      <c r="D137" s="20" t="s">
        <v>113</v>
      </c>
      <c r="E137" s="16">
        <f t="shared" si="25"/>
        <v>477566.25</v>
      </c>
      <c r="F137" s="22">
        <f>27685*15</f>
        <v>415275</v>
      </c>
      <c r="G137" s="22">
        <f t="shared" si="27"/>
        <v>62291.25</v>
      </c>
      <c r="H137" s="44">
        <f t="shared" si="23"/>
        <v>8305.5</v>
      </c>
      <c r="I137" s="44">
        <f t="shared" si="24"/>
        <v>469260.75</v>
      </c>
    </row>
    <row r="138" spans="1:9" x14ac:dyDescent="0.2">
      <c r="A138" s="17" t="s">
        <v>430</v>
      </c>
      <c r="B138" s="189" t="s">
        <v>404</v>
      </c>
      <c r="C138" s="17" t="s">
        <v>334</v>
      </c>
      <c r="D138" s="20" t="s">
        <v>114</v>
      </c>
      <c r="E138" s="16">
        <f t="shared" si="25"/>
        <v>46623.875</v>
      </c>
      <c r="F138" s="22">
        <f>16217*2.5</f>
        <v>40542.5</v>
      </c>
      <c r="G138" s="22">
        <f t="shared" si="27"/>
        <v>6081.375</v>
      </c>
      <c r="H138" s="44">
        <f t="shared" si="23"/>
        <v>810.85</v>
      </c>
      <c r="I138" s="44">
        <f t="shared" si="24"/>
        <v>45813.025000000001</v>
      </c>
    </row>
    <row r="139" spans="1:9" x14ac:dyDescent="0.2">
      <c r="A139" s="17" t="s">
        <v>430</v>
      </c>
      <c r="B139" s="189" t="s">
        <v>404</v>
      </c>
      <c r="C139" s="17" t="s">
        <v>334</v>
      </c>
      <c r="D139" s="20" t="s">
        <v>115</v>
      </c>
      <c r="E139" s="16">
        <f t="shared" si="25"/>
        <v>26367.970500000003</v>
      </c>
      <c r="F139" s="22">
        <f>254763/1000*90</f>
        <v>22928.670000000002</v>
      </c>
      <c r="G139" s="22">
        <f t="shared" si="27"/>
        <v>3439.3005000000003</v>
      </c>
      <c r="H139" s="44">
        <f t="shared" si="23"/>
        <v>458.57340000000005</v>
      </c>
      <c r="I139" s="44">
        <f t="shared" si="24"/>
        <v>25909.397100000002</v>
      </c>
    </row>
    <row r="140" spans="1:9" x14ac:dyDescent="0.2">
      <c r="A140" s="193" t="s">
        <v>432</v>
      </c>
      <c r="B140" s="194" t="s">
        <v>404</v>
      </c>
      <c r="C140" s="193" t="s">
        <v>335</v>
      </c>
      <c r="D140" s="195" t="s">
        <v>431</v>
      </c>
      <c r="E140" s="16">
        <f t="shared" si="25"/>
        <v>36225</v>
      </c>
      <c r="F140" s="196">
        <f>700000/1000*45</f>
        <v>31500</v>
      </c>
      <c r="G140" s="196">
        <f t="shared" si="27"/>
        <v>4725</v>
      </c>
      <c r="H140" s="196">
        <f t="shared" si="23"/>
        <v>630</v>
      </c>
      <c r="I140" s="196">
        <f t="shared" si="24"/>
        <v>35595</v>
      </c>
    </row>
    <row r="141" spans="1:9" x14ac:dyDescent="0.2">
      <c r="A141" s="193" t="s">
        <v>432</v>
      </c>
      <c r="B141" s="194" t="s">
        <v>404</v>
      </c>
      <c r="C141" s="193" t="s">
        <v>335</v>
      </c>
      <c r="D141" s="195" t="s">
        <v>433</v>
      </c>
      <c r="E141" s="16">
        <f t="shared" si="25"/>
        <v>51750</v>
      </c>
      <c r="F141" s="196">
        <f>1000000/1000*45</f>
        <v>45000</v>
      </c>
      <c r="G141" s="196">
        <f t="shared" si="27"/>
        <v>6750</v>
      </c>
      <c r="H141" s="196">
        <f t="shared" si="23"/>
        <v>900</v>
      </c>
      <c r="I141" s="196">
        <f t="shared" si="24"/>
        <v>50850</v>
      </c>
    </row>
    <row r="142" spans="1:9" x14ac:dyDescent="0.2">
      <c r="A142" s="17" t="s">
        <v>430</v>
      </c>
      <c r="B142" s="189" t="s">
        <v>404</v>
      </c>
      <c r="C142" s="17" t="s">
        <v>334</v>
      </c>
      <c r="D142" s="20" t="s">
        <v>116</v>
      </c>
      <c r="E142" s="16">
        <f t="shared" si="25"/>
        <v>27580.887000000002</v>
      </c>
      <c r="F142" s="22">
        <f>266482/1000*90</f>
        <v>23983.38</v>
      </c>
      <c r="G142" s="22">
        <f t="shared" si="27"/>
        <v>3597.5070000000001</v>
      </c>
      <c r="H142" s="44">
        <f t="shared" si="23"/>
        <v>479.66760000000005</v>
      </c>
      <c r="I142" s="44">
        <f t="shared" si="24"/>
        <v>27101.219400000002</v>
      </c>
    </row>
    <row r="143" spans="1:9" x14ac:dyDescent="0.2">
      <c r="A143" s="17" t="s">
        <v>430</v>
      </c>
      <c r="B143" s="189" t="s">
        <v>404</v>
      </c>
      <c r="C143" s="17" t="s">
        <v>334</v>
      </c>
      <c r="D143" s="20" t="s">
        <v>117</v>
      </c>
      <c r="E143" s="16">
        <f t="shared" si="25"/>
        <v>21871.930499999999</v>
      </c>
      <c r="F143" s="22">
        <f>211323/1000*90</f>
        <v>19019.07</v>
      </c>
      <c r="G143" s="22">
        <f t="shared" si="27"/>
        <v>2852.8604999999998</v>
      </c>
      <c r="H143" s="44">
        <f t="shared" si="23"/>
        <v>380.38139999999999</v>
      </c>
      <c r="I143" s="44">
        <f t="shared" si="24"/>
        <v>21491.5491</v>
      </c>
    </row>
    <row r="144" spans="1:9" x14ac:dyDescent="0.2">
      <c r="A144" s="193" t="s">
        <v>432</v>
      </c>
      <c r="B144" s="194" t="s">
        <v>404</v>
      </c>
      <c r="C144" s="193" t="s">
        <v>335</v>
      </c>
      <c r="D144" s="195" t="s">
        <v>440</v>
      </c>
      <c r="E144" s="16">
        <f t="shared" si="25"/>
        <v>38812.5</v>
      </c>
      <c r="F144" s="196">
        <f>750000/1000*45</f>
        <v>33750</v>
      </c>
      <c r="G144" s="196">
        <f t="shared" si="27"/>
        <v>5062.5</v>
      </c>
      <c r="H144" s="196">
        <f t="shared" si="23"/>
        <v>675</v>
      </c>
      <c r="I144" s="196">
        <f t="shared" si="24"/>
        <v>38137.5</v>
      </c>
    </row>
    <row r="145" spans="1:9" x14ac:dyDescent="0.2">
      <c r="A145" s="193" t="s">
        <v>432</v>
      </c>
      <c r="B145" s="194" t="s">
        <v>404</v>
      </c>
      <c r="C145" s="193" t="s">
        <v>335</v>
      </c>
      <c r="D145" s="195" t="s">
        <v>442</v>
      </c>
      <c r="E145" s="16">
        <f t="shared" si="25"/>
        <v>23287.5</v>
      </c>
      <c r="F145" s="196">
        <f>450000/1000*45</f>
        <v>20250</v>
      </c>
      <c r="G145" s="196">
        <f t="shared" si="27"/>
        <v>3037.5</v>
      </c>
      <c r="H145" s="196">
        <f t="shared" si="23"/>
        <v>405</v>
      </c>
      <c r="I145" s="196">
        <f t="shared" si="24"/>
        <v>22882.5</v>
      </c>
    </row>
    <row r="146" spans="1:9" x14ac:dyDescent="0.2">
      <c r="A146" s="193" t="s">
        <v>432</v>
      </c>
      <c r="B146" s="194" t="s">
        <v>404</v>
      </c>
      <c r="C146" s="193" t="s">
        <v>335</v>
      </c>
      <c r="D146" s="195" t="s">
        <v>443</v>
      </c>
      <c r="E146" s="16">
        <f t="shared" si="25"/>
        <v>3162.5</v>
      </c>
      <c r="F146" s="196">
        <f>550*5</f>
        <v>2750</v>
      </c>
      <c r="G146" s="196">
        <f t="shared" si="27"/>
        <v>412.5</v>
      </c>
      <c r="H146" s="196">
        <f t="shared" si="23"/>
        <v>55</v>
      </c>
      <c r="I146" s="196">
        <f t="shared" si="24"/>
        <v>3107.5</v>
      </c>
    </row>
    <row r="147" spans="1:9" x14ac:dyDescent="0.2">
      <c r="A147" s="193" t="s">
        <v>432</v>
      </c>
      <c r="B147" s="194" t="s">
        <v>404</v>
      </c>
      <c r="C147" s="193" t="s">
        <v>335</v>
      </c>
      <c r="D147" s="195" t="s">
        <v>444</v>
      </c>
      <c r="E147" s="16">
        <f t="shared" si="25"/>
        <v>1725</v>
      </c>
      <c r="F147" s="196">
        <f>300*5</f>
        <v>1500</v>
      </c>
      <c r="G147" s="196">
        <f t="shared" si="27"/>
        <v>225</v>
      </c>
      <c r="H147" s="196">
        <f t="shared" si="23"/>
        <v>30</v>
      </c>
      <c r="I147" s="196">
        <f t="shared" si="24"/>
        <v>1695</v>
      </c>
    </row>
    <row r="148" spans="1:9" x14ac:dyDescent="0.2">
      <c r="A148" s="197" t="s">
        <v>449</v>
      </c>
      <c r="B148" s="194" t="s">
        <v>358</v>
      </c>
      <c r="C148" s="193" t="s">
        <v>16</v>
      </c>
      <c r="D148" s="198" t="s">
        <v>445</v>
      </c>
      <c r="E148" s="16">
        <f t="shared" si="25"/>
        <v>86110.159999999989</v>
      </c>
      <c r="F148" s="199">
        <f>748784/1000*100</f>
        <v>74878.399999999994</v>
      </c>
      <c r="G148" s="199">
        <f t="shared" si="27"/>
        <v>11231.759999999998</v>
      </c>
      <c r="H148" s="196">
        <f t="shared" si="23"/>
        <v>1497.568</v>
      </c>
      <c r="I148" s="196">
        <f t="shared" si="24"/>
        <v>84612.59199999999</v>
      </c>
    </row>
    <row r="149" spans="1:9" x14ac:dyDescent="0.2">
      <c r="A149" s="197" t="s">
        <v>449</v>
      </c>
      <c r="B149" s="194" t="s">
        <v>358</v>
      </c>
      <c r="C149" s="193" t="s">
        <v>16</v>
      </c>
      <c r="D149" s="198" t="s">
        <v>447</v>
      </c>
      <c r="E149" s="16">
        <f t="shared" si="25"/>
        <v>87400</v>
      </c>
      <c r="F149" s="199">
        <f>800000/1000*95</f>
        <v>76000</v>
      </c>
      <c r="G149" s="199">
        <f t="shared" si="27"/>
        <v>11400</v>
      </c>
      <c r="H149" s="196">
        <f t="shared" si="23"/>
        <v>1520</v>
      </c>
      <c r="I149" s="196">
        <f t="shared" si="24"/>
        <v>85880</v>
      </c>
    </row>
    <row r="150" spans="1:9" x14ac:dyDescent="0.2">
      <c r="A150" s="197" t="s">
        <v>449</v>
      </c>
      <c r="B150" s="194" t="s">
        <v>404</v>
      </c>
      <c r="C150" s="193" t="s">
        <v>16</v>
      </c>
      <c r="D150" s="198" t="s">
        <v>450</v>
      </c>
      <c r="E150" s="16">
        <f t="shared" si="25"/>
        <v>103500</v>
      </c>
      <c r="F150" s="199">
        <f>1000000/1000*90</f>
        <v>90000</v>
      </c>
      <c r="G150" s="199">
        <f t="shared" si="27"/>
        <v>13500</v>
      </c>
      <c r="H150" s="196">
        <f t="shared" si="23"/>
        <v>1800</v>
      </c>
      <c r="I150" s="196">
        <f t="shared" si="24"/>
        <v>101700</v>
      </c>
    </row>
    <row r="151" spans="1:9" x14ac:dyDescent="0.2">
      <c r="A151" s="45" t="s">
        <v>458</v>
      </c>
      <c r="B151" s="189" t="s">
        <v>404</v>
      </c>
      <c r="C151" s="17" t="s">
        <v>338</v>
      </c>
      <c r="D151" s="44" t="s">
        <v>457</v>
      </c>
      <c r="E151" s="16">
        <f t="shared" si="25"/>
        <v>9970.5</v>
      </c>
      <c r="F151" s="44">
        <f>3468*2.5</f>
        <v>8670</v>
      </c>
      <c r="G151" s="22">
        <f t="shared" si="27"/>
        <v>1300.5</v>
      </c>
      <c r="H151" s="44">
        <f t="shared" si="23"/>
        <v>173.4</v>
      </c>
      <c r="I151" s="44">
        <f t="shared" si="24"/>
        <v>9797.1</v>
      </c>
    </row>
    <row r="152" spans="1:9" x14ac:dyDescent="0.2">
      <c r="A152" s="45" t="s">
        <v>458</v>
      </c>
      <c r="B152" s="189" t="s">
        <v>404</v>
      </c>
      <c r="C152" s="17" t="s">
        <v>338</v>
      </c>
      <c r="D152" s="44" t="s">
        <v>459</v>
      </c>
      <c r="E152" s="16">
        <f t="shared" si="25"/>
        <v>41400</v>
      </c>
      <c r="F152" s="44">
        <f>450000*0.08</f>
        <v>36000</v>
      </c>
      <c r="G152" s="22">
        <f t="shared" si="27"/>
        <v>5400</v>
      </c>
      <c r="H152" s="44">
        <f t="shared" si="23"/>
        <v>720</v>
      </c>
      <c r="I152" s="44">
        <f t="shared" si="24"/>
        <v>40680</v>
      </c>
    </row>
    <row r="153" spans="1:9" x14ac:dyDescent="0.2">
      <c r="A153" s="45" t="s">
        <v>458</v>
      </c>
      <c r="B153" s="189" t="s">
        <v>464</v>
      </c>
      <c r="C153" s="17" t="s">
        <v>334</v>
      </c>
      <c r="D153" s="20" t="s">
        <v>118</v>
      </c>
      <c r="E153" s="16">
        <f t="shared" si="25"/>
        <v>138000</v>
      </c>
      <c r="F153" s="22">
        <f>40000*3</f>
        <v>120000</v>
      </c>
      <c r="G153" s="22">
        <f t="shared" si="27"/>
        <v>18000</v>
      </c>
      <c r="H153" s="44">
        <f t="shared" si="23"/>
        <v>2400</v>
      </c>
      <c r="I153" s="44">
        <f t="shared" si="24"/>
        <v>135600</v>
      </c>
    </row>
    <row r="154" spans="1:9" x14ac:dyDescent="0.2">
      <c r="A154" s="45" t="s">
        <v>458</v>
      </c>
      <c r="B154" s="189" t="s">
        <v>352</v>
      </c>
      <c r="C154" s="17" t="s">
        <v>348</v>
      </c>
      <c r="D154" s="69" t="s">
        <v>465</v>
      </c>
      <c r="E154" s="16">
        <f t="shared" si="25"/>
        <v>3266</v>
      </c>
      <c r="F154" s="22">
        <v>2840</v>
      </c>
      <c r="G154" s="44">
        <f>F154*15%</f>
        <v>426</v>
      </c>
      <c r="H154" s="44">
        <f t="shared" si="23"/>
        <v>56.800000000000004</v>
      </c>
      <c r="I154" s="44">
        <f t="shared" si="24"/>
        <v>3209.2</v>
      </c>
    </row>
    <row r="155" spans="1:9" x14ac:dyDescent="0.2">
      <c r="A155" s="45" t="s">
        <v>458</v>
      </c>
      <c r="B155" s="189" t="s">
        <v>358</v>
      </c>
      <c r="C155" s="17" t="s">
        <v>15</v>
      </c>
      <c r="D155" s="86" t="s">
        <v>466</v>
      </c>
      <c r="E155" s="16">
        <f t="shared" si="25"/>
        <v>412590.1</v>
      </c>
      <c r="F155" s="22">
        <v>358774</v>
      </c>
      <c r="G155" s="44">
        <f t="shared" ref="G155:G177" si="28">F155*15%</f>
        <v>53816.1</v>
      </c>
      <c r="H155" s="44">
        <f t="shared" si="23"/>
        <v>7175.4800000000005</v>
      </c>
      <c r="I155" s="44">
        <f t="shared" si="24"/>
        <v>405414.62</v>
      </c>
    </row>
    <row r="156" spans="1:9" x14ac:dyDescent="0.2">
      <c r="A156" s="45" t="s">
        <v>458</v>
      </c>
      <c r="B156" s="189" t="s">
        <v>358</v>
      </c>
      <c r="C156" s="17" t="s">
        <v>342</v>
      </c>
      <c r="D156" s="44" t="s">
        <v>468</v>
      </c>
      <c r="E156" s="16">
        <f t="shared" si="25"/>
        <v>95171.7</v>
      </c>
      <c r="F156" s="44">
        <v>82758</v>
      </c>
      <c r="G156" s="44">
        <f t="shared" si="28"/>
        <v>12413.699999999999</v>
      </c>
      <c r="H156" s="44">
        <f t="shared" si="23"/>
        <v>1655.16</v>
      </c>
      <c r="I156" s="44">
        <f t="shared" si="24"/>
        <v>93516.54</v>
      </c>
    </row>
    <row r="157" spans="1:9" x14ac:dyDescent="0.2">
      <c r="A157" s="45" t="s">
        <v>458</v>
      </c>
      <c r="B157" s="189" t="s">
        <v>404</v>
      </c>
      <c r="C157" s="17" t="s">
        <v>12</v>
      </c>
      <c r="D157" s="44" t="s">
        <v>470</v>
      </c>
      <c r="E157" s="16">
        <f t="shared" si="25"/>
        <v>22538.85</v>
      </c>
      <c r="F157" s="44">
        <v>19599</v>
      </c>
      <c r="G157" s="44">
        <f t="shared" si="28"/>
        <v>2939.85</v>
      </c>
      <c r="H157" s="44">
        <f t="shared" si="23"/>
        <v>391.98</v>
      </c>
      <c r="I157" s="44">
        <f t="shared" si="24"/>
        <v>22146.87</v>
      </c>
    </row>
    <row r="158" spans="1:9" x14ac:dyDescent="0.2">
      <c r="A158" s="45" t="s">
        <v>458</v>
      </c>
      <c r="B158" s="189" t="s">
        <v>404</v>
      </c>
      <c r="C158" s="17" t="s">
        <v>324</v>
      </c>
      <c r="D158" s="97" t="s">
        <v>472</v>
      </c>
      <c r="E158" s="16">
        <f t="shared" si="25"/>
        <v>39746.300000000003</v>
      </c>
      <c r="F158" s="22">
        <v>34562</v>
      </c>
      <c r="G158" s="44">
        <f t="shared" si="28"/>
        <v>5184.3</v>
      </c>
      <c r="H158" s="44">
        <f t="shared" si="23"/>
        <v>691.24</v>
      </c>
      <c r="I158" s="44">
        <f t="shared" si="24"/>
        <v>39055.060000000005</v>
      </c>
    </row>
    <row r="159" spans="1:9" x14ac:dyDescent="0.2">
      <c r="A159" s="20" t="s">
        <v>477</v>
      </c>
      <c r="B159" s="189" t="s">
        <v>464</v>
      </c>
      <c r="C159" s="17" t="s">
        <v>334</v>
      </c>
      <c r="D159" s="20" t="s">
        <v>407</v>
      </c>
      <c r="E159" s="16">
        <f t="shared" si="25"/>
        <v>41400</v>
      </c>
      <c r="F159" s="22">
        <f>12000*3</f>
        <v>36000</v>
      </c>
      <c r="G159" s="22">
        <f t="shared" si="28"/>
        <v>5400</v>
      </c>
      <c r="H159" s="44">
        <f t="shared" si="23"/>
        <v>720</v>
      </c>
      <c r="I159" s="44">
        <f t="shared" si="24"/>
        <v>40680</v>
      </c>
    </row>
    <row r="160" spans="1:9" x14ac:dyDescent="0.2">
      <c r="A160" s="20" t="s">
        <v>477</v>
      </c>
      <c r="B160" s="189" t="s">
        <v>464</v>
      </c>
      <c r="C160" s="17" t="s">
        <v>334</v>
      </c>
      <c r="D160" s="20" t="s">
        <v>408</v>
      </c>
      <c r="E160" s="16">
        <f t="shared" si="25"/>
        <v>267394.11300000001</v>
      </c>
      <c r="F160" s="22">
        <f>2583518/1000*90</f>
        <v>232516.62</v>
      </c>
      <c r="G160" s="22">
        <f t="shared" si="28"/>
        <v>34877.492999999995</v>
      </c>
      <c r="H160" s="44">
        <f t="shared" si="23"/>
        <v>4650.3324000000002</v>
      </c>
      <c r="I160" s="44">
        <f t="shared" si="24"/>
        <v>262743.7806</v>
      </c>
    </row>
    <row r="161" spans="1:9" x14ac:dyDescent="0.2">
      <c r="A161" s="20" t="s">
        <v>482</v>
      </c>
      <c r="B161" s="189" t="s">
        <v>464</v>
      </c>
      <c r="C161" s="17" t="s">
        <v>334</v>
      </c>
      <c r="D161" s="20" t="s">
        <v>409</v>
      </c>
      <c r="E161" s="16">
        <f t="shared" si="25"/>
        <v>27876.793500000003</v>
      </c>
      <c r="F161" s="22">
        <f>269341/1000*90</f>
        <v>24240.690000000002</v>
      </c>
      <c r="G161" s="22">
        <f t="shared" si="28"/>
        <v>3636.1035000000002</v>
      </c>
      <c r="H161" s="44">
        <f t="shared" si="23"/>
        <v>484.81380000000007</v>
      </c>
      <c r="I161" s="44">
        <f t="shared" si="24"/>
        <v>27391.979700000004</v>
      </c>
    </row>
    <row r="162" spans="1:9" x14ac:dyDescent="0.2">
      <c r="A162" s="20" t="s">
        <v>482</v>
      </c>
      <c r="B162" s="189" t="s">
        <v>464</v>
      </c>
      <c r="C162" s="17" t="s">
        <v>334</v>
      </c>
      <c r="D162" s="20" t="s">
        <v>410</v>
      </c>
      <c r="E162" s="16">
        <f t="shared" si="25"/>
        <v>62100</v>
      </c>
      <c r="F162" s="22">
        <f>450000/1000*120</f>
        <v>54000</v>
      </c>
      <c r="G162" s="22">
        <f t="shared" si="28"/>
        <v>8100</v>
      </c>
      <c r="H162" s="44">
        <f t="shared" si="23"/>
        <v>1080</v>
      </c>
      <c r="I162" s="44">
        <f t="shared" si="24"/>
        <v>61020</v>
      </c>
    </row>
    <row r="163" spans="1:9" x14ac:dyDescent="0.2">
      <c r="A163" s="20" t="s">
        <v>482</v>
      </c>
      <c r="B163" s="189" t="s">
        <v>464</v>
      </c>
      <c r="C163" s="17" t="s">
        <v>334</v>
      </c>
      <c r="D163" s="20" t="s">
        <v>411</v>
      </c>
      <c r="E163" s="16">
        <f t="shared" si="25"/>
        <v>40163.75</v>
      </c>
      <c r="F163" s="22">
        <f>13970*2.5</f>
        <v>34925</v>
      </c>
      <c r="G163" s="22">
        <f t="shared" si="28"/>
        <v>5238.75</v>
      </c>
      <c r="H163" s="44">
        <f t="shared" si="23"/>
        <v>698.5</v>
      </c>
      <c r="I163" s="44">
        <f t="shared" si="24"/>
        <v>39465.25</v>
      </c>
    </row>
    <row r="164" spans="1:9" x14ac:dyDescent="0.2">
      <c r="A164" s="20" t="s">
        <v>482</v>
      </c>
      <c r="B164" s="189" t="s">
        <v>358</v>
      </c>
      <c r="C164" s="17" t="s">
        <v>330</v>
      </c>
      <c r="D164" s="69" t="s">
        <v>485</v>
      </c>
      <c r="E164" s="16">
        <f t="shared" si="25"/>
        <v>329517.55</v>
      </c>
      <c r="F164" s="22">
        <v>286537</v>
      </c>
      <c r="G164" s="16">
        <f t="shared" si="28"/>
        <v>42980.549999999996</v>
      </c>
      <c r="H164" s="44">
        <f t="shared" si="23"/>
        <v>5730.74</v>
      </c>
      <c r="I164" s="44">
        <f t="shared" si="24"/>
        <v>323786.81</v>
      </c>
    </row>
    <row r="165" spans="1:9" x14ac:dyDescent="0.2">
      <c r="A165" s="20" t="s">
        <v>495</v>
      </c>
      <c r="B165" s="189" t="s">
        <v>496</v>
      </c>
      <c r="C165" s="17" t="s">
        <v>335</v>
      </c>
      <c r="D165" s="86" t="s">
        <v>486</v>
      </c>
      <c r="E165" s="16">
        <f t="shared" si="25"/>
        <v>43125.034500000002</v>
      </c>
      <c r="F165" s="44">
        <f>833334/1000*45</f>
        <v>37500.03</v>
      </c>
      <c r="G165" s="44">
        <f t="shared" si="28"/>
        <v>5625.0045</v>
      </c>
      <c r="H165" s="44">
        <f t="shared" si="23"/>
        <v>750.00059999999996</v>
      </c>
      <c r="I165" s="44">
        <f t="shared" si="24"/>
        <v>42375.033900000002</v>
      </c>
    </row>
    <row r="166" spans="1:9" x14ac:dyDescent="0.2">
      <c r="A166" s="20" t="s">
        <v>495</v>
      </c>
      <c r="B166" s="189" t="s">
        <v>496</v>
      </c>
      <c r="C166" s="17" t="s">
        <v>335</v>
      </c>
      <c r="D166" s="86" t="s">
        <v>487</v>
      </c>
      <c r="E166" s="16">
        <f t="shared" si="25"/>
        <v>5175</v>
      </c>
      <c r="F166" s="44">
        <f>900*5</f>
        <v>4500</v>
      </c>
      <c r="G166" s="44">
        <f t="shared" si="28"/>
        <v>675</v>
      </c>
      <c r="H166" s="44">
        <f t="shared" si="23"/>
        <v>90</v>
      </c>
      <c r="I166" s="44">
        <f t="shared" si="24"/>
        <v>5085</v>
      </c>
    </row>
    <row r="167" spans="1:9" x14ac:dyDescent="0.2">
      <c r="A167" s="20" t="s">
        <v>495</v>
      </c>
      <c r="B167" s="189" t="s">
        <v>464</v>
      </c>
      <c r="C167" s="17" t="s">
        <v>335</v>
      </c>
      <c r="D167" s="86" t="s">
        <v>488</v>
      </c>
      <c r="E167" s="16">
        <f t="shared" si="25"/>
        <v>129375</v>
      </c>
      <c r="F167" s="44">
        <f>2500000/1000*45</f>
        <v>112500</v>
      </c>
      <c r="G167" s="44">
        <f t="shared" si="28"/>
        <v>16875</v>
      </c>
      <c r="H167" s="44">
        <f t="shared" si="23"/>
        <v>2250</v>
      </c>
      <c r="I167" s="44">
        <f t="shared" si="24"/>
        <v>127125</v>
      </c>
    </row>
    <row r="168" spans="1:9" x14ac:dyDescent="0.2">
      <c r="A168" s="20" t="s">
        <v>495</v>
      </c>
      <c r="B168" s="189" t="s">
        <v>464</v>
      </c>
      <c r="C168" s="17" t="s">
        <v>335</v>
      </c>
      <c r="D168" s="86" t="s">
        <v>489</v>
      </c>
      <c r="E168" s="16">
        <f t="shared" si="25"/>
        <v>18687.5</v>
      </c>
      <c r="F168" s="44">
        <f>3250*5</f>
        <v>16250</v>
      </c>
      <c r="G168" s="44">
        <f t="shared" si="28"/>
        <v>2437.5</v>
      </c>
      <c r="H168" s="44">
        <f t="shared" si="23"/>
        <v>325</v>
      </c>
      <c r="I168" s="44">
        <f t="shared" si="24"/>
        <v>18362.5</v>
      </c>
    </row>
    <row r="169" spans="1:9" x14ac:dyDescent="0.2">
      <c r="A169" s="20" t="s">
        <v>495</v>
      </c>
      <c r="B169" s="189" t="s">
        <v>464</v>
      </c>
      <c r="C169" s="17" t="s">
        <v>335</v>
      </c>
      <c r="D169" s="86" t="s">
        <v>490</v>
      </c>
      <c r="E169" s="16">
        <f t="shared" si="25"/>
        <v>3018.75</v>
      </c>
      <c r="F169" s="44">
        <f>525*5</f>
        <v>2625</v>
      </c>
      <c r="G169" s="44">
        <f t="shared" si="28"/>
        <v>393.75</v>
      </c>
      <c r="H169" s="44">
        <f t="shared" si="23"/>
        <v>52.5</v>
      </c>
      <c r="I169" s="44">
        <f t="shared" si="24"/>
        <v>2966.25</v>
      </c>
    </row>
    <row r="170" spans="1:9" x14ac:dyDescent="0.2">
      <c r="A170" s="20" t="s">
        <v>495</v>
      </c>
      <c r="B170" s="189" t="s">
        <v>464</v>
      </c>
      <c r="C170" s="17" t="s">
        <v>335</v>
      </c>
      <c r="D170" s="86" t="s">
        <v>491</v>
      </c>
      <c r="E170" s="16">
        <f t="shared" si="25"/>
        <v>2012.5</v>
      </c>
      <c r="F170" s="44">
        <f>350*5</f>
        <v>1750</v>
      </c>
      <c r="G170" s="44">
        <f t="shared" si="28"/>
        <v>262.5</v>
      </c>
      <c r="H170" s="44">
        <f t="shared" si="23"/>
        <v>35</v>
      </c>
      <c r="I170" s="44">
        <f t="shared" si="24"/>
        <v>1977.5</v>
      </c>
    </row>
    <row r="171" spans="1:9" x14ac:dyDescent="0.2">
      <c r="A171" s="20" t="s">
        <v>499</v>
      </c>
      <c r="B171" s="189" t="s">
        <v>496</v>
      </c>
      <c r="C171" s="17" t="s">
        <v>338</v>
      </c>
      <c r="D171" s="44" t="s">
        <v>498</v>
      </c>
      <c r="E171" s="16">
        <f t="shared" si="25"/>
        <v>263120</v>
      </c>
      <c r="F171" s="44">
        <f>2080000/1000*110</f>
        <v>228800</v>
      </c>
      <c r="G171" s="22">
        <f t="shared" si="28"/>
        <v>34320</v>
      </c>
      <c r="H171" s="44">
        <f t="shared" si="23"/>
        <v>4576</v>
      </c>
      <c r="I171" s="44">
        <f t="shared" si="24"/>
        <v>258544</v>
      </c>
    </row>
    <row r="172" spans="1:9" x14ac:dyDescent="0.2">
      <c r="A172" s="20" t="s">
        <v>499</v>
      </c>
      <c r="B172" s="189" t="s">
        <v>464</v>
      </c>
      <c r="C172" s="17" t="s">
        <v>16</v>
      </c>
      <c r="D172" s="69" t="s">
        <v>500</v>
      </c>
      <c r="E172" s="16">
        <f t="shared" si="25"/>
        <v>71875</v>
      </c>
      <c r="F172" s="22">
        <f>250000*0.25</f>
        <v>62500</v>
      </c>
      <c r="G172" s="22">
        <f t="shared" si="28"/>
        <v>9375</v>
      </c>
      <c r="H172" s="44">
        <f t="shared" si="23"/>
        <v>1250</v>
      </c>
      <c r="I172" s="44">
        <f t="shared" si="24"/>
        <v>70625</v>
      </c>
    </row>
    <row r="173" spans="1:9" x14ac:dyDescent="0.2">
      <c r="A173" s="20" t="s">
        <v>499</v>
      </c>
      <c r="B173" s="189" t="s">
        <v>404</v>
      </c>
      <c r="C173" s="17" t="s">
        <v>15</v>
      </c>
      <c r="D173" s="45" t="s">
        <v>502</v>
      </c>
      <c r="E173" s="16">
        <f t="shared" si="25"/>
        <v>35137.1</v>
      </c>
      <c r="F173" s="22">
        <v>30554</v>
      </c>
      <c r="G173" s="44">
        <f t="shared" si="28"/>
        <v>4583.0999999999995</v>
      </c>
      <c r="H173" s="44">
        <f t="shared" si="23"/>
        <v>611.08000000000004</v>
      </c>
      <c r="I173" s="44">
        <f t="shared" si="24"/>
        <v>34526.019999999997</v>
      </c>
    </row>
    <row r="174" spans="1:9" x14ac:dyDescent="0.2">
      <c r="A174" s="20" t="s">
        <v>499</v>
      </c>
      <c r="B174" s="189" t="s">
        <v>404</v>
      </c>
      <c r="C174" s="17" t="s">
        <v>348</v>
      </c>
      <c r="D174" s="69" t="s">
        <v>503</v>
      </c>
      <c r="E174" s="16">
        <f t="shared" si="25"/>
        <v>17066</v>
      </c>
      <c r="F174" s="22">
        <v>14840</v>
      </c>
      <c r="G174" s="44">
        <f t="shared" si="28"/>
        <v>2226</v>
      </c>
      <c r="H174" s="44">
        <f t="shared" si="23"/>
        <v>296.8</v>
      </c>
      <c r="I174" s="44">
        <f t="shared" si="24"/>
        <v>16769.2</v>
      </c>
    </row>
    <row r="175" spans="1:9" x14ac:dyDescent="0.2">
      <c r="A175" s="20" t="s">
        <v>506</v>
      </c>
      <c r="B175" s="189" t="s">
        <v>404</v>
      </c>
      <c r="C175" s="17" t="s">
        <v>342</v>
      </c>
      <c r="D175" s="44" t="s">
        <v>505</v>
      </c>
      <c r="E175" s="16">
        <f t="shared" si="25"/>
        <v>91163.95</v>
      </c>
      <c r="F175" s="44">
        <v>79273</v>
      </c>
      <c r="G175" s="44">
        <f t="shared" si="28"/>
        <v>11890.949999999999</v>
      </c>
      <c r="H175" s="44">
        <f t="shared" si="23"/>
        <v>1585.46</v>
      </c>
      <c r="I175" s="44">
        <f t="shared" si="24"/>
        <v>89578.489999999991</v>
      </c>
    </row>
    <row r="176" spans="1:9" x14ac:dyDescent="0.2">
      <c r="A176" s="20" t="s">
        <v>506</v>
      </c>
      <c r="B176" s="189" t="s">
        <v>464</v>
      </c>
      <c r="C176" s="17" t="s">
        <v>338</v>
      </c>
      <c r="D176" s="44" t="s">
        <v>507</v>
      </c>
      <c r="E176" s="16">
        <f t="shared" si="25"/>
        <v>87773.75</v>
      </c>
      <c r="F176" s="44">
        <v>76325</v>
      </c>
      <c r="G176" s="22">
        <f t="shared" si="28"/>
        <v>11448.75</v>
      </c>
      <c r="H176" s="44">
        <f t="shared" si="23"/>
        <v>1526.5</v>
      </c>
      <c r="I176" s="44">
        <f t="shared" si="24"/>
        <v>86247.25</v>
      </c>
    </row>
    <row r="177" spans="1:9" x14ac:dyDescent="0.2">
      <c r="A177" s="20" t="s">
        <v>506</v>
      </c>
      <c r="B177" s="189" t="s">
        <v>511</v>
      </c>
      <c r="C177" s="17" t="s">
        <v>338</v>
      </c>
      <c r="D177" s="44" t="s">
        <v>510</v>
      </c>
      <c r="E177" s="16">
        <f t="shared" si="25"/>
        <v>103500</v>
      </c>
      <c r="F177" s="44">
        <v>90000</v>
      </c>
      <c r="G177" s="22">
        <f t="shared" si="28"/>
        <v>13500</v>
      </c>
      <c r="H177" s="44">
        <f t="shared" si="23"/>
        <v>1800</v>
      </c>
      <c r="I177" s="44">
        <f t="shared" si="24"/>
        <v>101700</v>
      </c>
    </row>
    <row r="178" spans="1:9" x14ac:dyDescent="0.2">
      <c r="A178" s="17" t="s">
        <v>514</v>
      </c>
      <c r="B178" s="189" t="s">
        <v>404</v>
      </c>
      <c r="C178" s="17" t="s">
        <v>517</v>
      </c>
      <c r="D178" s="69" t="s">
        <v>515</v>
      </c>
      <c r="E178" s="16">
        <f t="shared" si="25"/>
        <v>27418.3</v>
      </c>
      <c r="F178" s="22">
        <v>23842</v>
      </c>
      <c r="G178" s="44">
        <f>F178*15%</f>
        <v>3576.2999999999997</v>
      </c>
      <c r="H178" s="44">
        <f t="shared" si="23"/>
        <v>476.84000000000003</v>
      </c>
      <c r="I178" s="44">
        <f t="shared" si="24"/>
        <v>26941.46</v>
      </c>
    </row>
    <row r="179" spans="1:9" x14ac:dyDescent="0.2">
      <c r="A179" s="17" t="s">
        <v>514</v>
      </c>
      <c r="B179" s="189" t="s">
        <v>521</v>
      </c>
      <c r="C179" s="17" t="s">
        <v>334</v>
      </c>
      <c r="D179" s="20" t="s">
        <v>412</v>
      </c>
      <c r="E179" s="16">
        <f t="shared" si="25"/>
        <v>11040</v>
      </c>
      <c r="F179" s="22">
        <v>9600</v>
      </c>
      <c r="G179" s="22">
        <f t="shared" ref="G179:G221" si="29">F179*15%</f>
        <v>1440</v>
      </c>
      <c r="H179" s="44">
        <f t="shared" si="23"/>
        <v>192</v>
      </c>
      <c r="I179" s="44">
        <f t="shared" si="24"/>
        <v>10848</v>
      </c>
    </row>
    <row r="180" spans="1:9" x14ac:dyDescent="0.2">
      <c r="A180" s="17" t="s">
        <v>514</v>
      </c>
      <c r="B180" s="189" t="s">
        <v>521</v>
      </c>
      <c r="C180" s="17" t="s">
        <v>334</v>
      </c>
      <c r="D180" s="20" t="s">
        <v>413</v>
      </c>
      <c r="E180" s="16">
        <f t="shared" si="25"/>
        <v>17054.5</v>
      </c>
      <c r="F180" s="22">
        <v>14830</v>
      </c>
      <c r="G180" s="22">
        <f t="shared" si="29"/>
        <v>2224.5</v>
      </c>
      <c r="H180" s="44">
        <f t="shared" si="23"/>
        <v>296.60000000000002</v>
      </c>
      <c r="I180" s="44">
        <f t="shared" si="24"/>
        <v>16757.900000000001</v>
      </c>
    </row>
    <row r="181" spans="1:9" x14ac:dyDescent="0.2">
      <c r="A181" s="17" t="s">
        <v>514</v>
      </c>
      <c r="B181" s="189" t="s">
        <v>521</v>
      </c>
      <c r="C181" s="17" t="s">
        <v>334</v>
      </c>
      <c r="D181" s="20" t="s">
        <v>414</v>
      </c>
      <c r="E181" s="16">
        <f t="shared" si="25"/>
        <v>81628.149999999994</v>
      </c>
      <c r="F181" s="22">
        <v>70981</v>
      </c>
      <c r="G181" s="22">
        <f t="shared" si="29"/>
        <v>10647.15</v>
      </c>
      <c r="H181" s="44">
        <f t="shared" si="23"/>
        <v>1419.6200000000001</v>
      </c>
      <c r="I181" s="44">
        <f t="shared" si="24"/>
        <v>80208.53</v>
      </c>
    </row>
    <row r="182" spans="1:9" x14ac:dyDescent="0.2">
      <c r="A182" s="17" t="s">
        <v>514</v>
      </c>
      <c r="B182" s="189" t="s">
        <v>521</v>
      </c>
      <c r="C182" s="17" t="s">
        <v>16</v>
      </c>
      <c r="D182" s="69" t="s">
        <v>522</v>
      </c>
      <c r="E182" s="16">
        <f t="shared" si="25"/>
        <v>153525</v>
      </c>
      <c r="F182" s="22">
        <v>133500</v>
      </c>
      <c r="G182" s="22">
        <f t="shared" si="29"/>
        <v>20025</v>
      </c>
      <c r="H182" s="44">
        <f t="shared" si="23"/>
        <v>2670</v>
      </c>
      <c r="I182" s="44">
        <f t="shared" si="24"/>
        <v>150855</v>
      </c>
    </row>
    <row r="183" spans="1:9" x14ac:dyDescent="0.2">
      <c r="A183" s="17" t="s">
        <v>514</v>
      </c>
      <c r="B183" s="189" t="s">
        <v>521</v>
      </c>
      <c r="C183" s="17" t="s">
        <v>335</v>
      </c>
      <c r="D183" s="86" t="s">
        <v>524</v>
      </c>
      <c r="E183" s="16">
        <f t="shared" si="25"/>
        <v>258750</v>
      </c>
      <c r="F183" s="44">
        <v>225000</v>
      </c>
      <c r="G183" s="44">
        <f t="shared" si="29"/>
        <v>33750</v>
      </c>
      <c r="H183" s="44">
        <f t="shared" si="23"/>
        <v>4500</v>
      </c>
      <c r="I183" s="44">
        <f t="shared" si="24"/>
        <v>254250</v>
      </c>
    </row>
    <row r="184" spans="1:9" x14ac:dyDescent="0.2">
      <c r="A184" s="17" t="s">
        <v>514</v>
      </c>
      <c r="B184" s="189" t="s">
        <v>521</v>
      </c>
      <c r="C184" s="17" t="s">
        <v>335</v>
      </c>
      <c r="D184" s="86" t="s">
        <v>526</v>
      </c>
      <c r="E184" s="16">
        <f t="shared" si="25"/>
        <v>5031.25</v>
      </c>
      <c r="F184" s="44">
        <v>4375</v>
      </c>
      <c r="G184" s="44">
        <f t="shared" si="29"/>
        <v>656.25</v>
      </c>
      <c r="H184" s="44">
        <f t="shared" si="23"/>
        <v>87.5</v>
      </c>
      <c r="I184" s="44">
        <f t="shared" si="24"/>
        <v>4943.75</v>
      </c>
    </row>
    <row r="185" spans="1:9" x14ac:dyDescent="0.2">
      <c r="A185" s="17" t="s">
        <v>514</v>
      </c>
      <c r="B185" s="189" t="s">
        <v>464</v>
      </c>
      <c r="C185" s="17" t="s">
        <v>12</v>
      </c>
      <c r="D185" s="44" t="s">
        <v>527</v>
      </c>
      <c r="E185" s="16">
        <f t="shared" si="25"/>
        <v>59811.5</v>
      </c>
      <c r="F185" s="44">
        <v>52010</v>
      </c>
      <c r="G185" s="44">
        <f t="shared" si="29"/>
        <v>7801.5</v>
      </c>
      <c r="H185" s="44">
        <f t="shared" si="23"/>
        <v>1040.2</v>
      </c>
      <c r="I185" s="44">
        <f t="shared" si="24"/>
        <v>58771.3</v>
      </c>
    </row>
    <row r="186" spans="1:9" x14ac:dyDescent="0.2">
      <c r="A186" s="17" t="s">
        <v>514</v>
      </c>
      <c r="B186" s="189" t="s">
        <v>521</v>
      </c>
      <c r="C186" s="17" t="s">
        <v>324</v>
      </c>
      <c r="D186" s="45" t="s">
        <v>528</v>
      </c>
      <c r="E186" s="16">
        <f t="shared" si="25"/>
        <v>79068.25</v>
      </c>
      <c r="F186" s="22">
        <v>68755</v>
      </c>
      <c r="G186" s="44">
        <f t="shared" si="29"/>
        <v>10313.25</v>
      </c>
      <c r="H186" s="44">
        <f t="shared" si="23"/>
        <v>1375.1000000000001</v>
      </c>
      <c r="I186" s="44">
        <f t="shared" si="24"/>
        <v>77693.149999999994</v>
      </c>
    </row>
    <row r="187" spans="1:9" x14ac:dyDescent="0.2">
      <c r="A187" s="17" t="s">
        <v>530</v>
      </c>
      <c r="B187" s="189" t="s">
        <v>404</v>
      </c>
      <c r="C187" s="17" t="s">
        <v>330</v>
      </c>
      <c r="D187" s="69" t="s">
        <v>531</v>
      </c>
      <c r="E187" s="16">
        <f t="shared" si="25"/>
        <v>227213.55</v>
      </c>
      <c r="F187" s="22">
        <v>197577</v>
      </c>
      <c r="G187" s="16">
        <f t="shared" si="29"/>
        <v>29636.55</v>
      </c>
      <c r="H187" s="44">
        <f t="shared" si="23"/>
        <v>3951.54</v>
      </c>
      <c r="I187" s="44">
        <f t="shared" si="24"/>
        <v>223262.00999999998</v>
      </c>
    </row>
    <row r="188" spans="1:9" x14ac:dyDescent="0.2">
      <c r="A188" s="17" t="s">
        <v>530</v>
      </c>
      <c r="B188" s="189" t="s">
        <v>521</v>
      </c>
      <c r="C188" s="17" t="s">
        <v>334</v>
      </c>
      <c r="D188" s="20" t="s">
        <v>415</v>
      </c>
      <c r="E188" s="16">
        <f t="shared" si="25"/>
        <v>58598.25</v>
      </c>
      <c r="F188" s="22">
        <v>50955</v>
      </c>
      <c r="G188" s="22">
        <f t="shared" si="29"/>
        <v>7643.25</v>
      </c>
      <c r="H188" s="44">
        <f t="shared" si="23"/>
        <v>1019.1</v>
      </c>
      <c r="I188" s="44">
        <f t="shared" si="24"/>
        <v>57579.15</v>
      </c>
    </row>
    <row r="189" spans="1:9" x14ac:dyDescent="0.2">
      <c r="A189" s="17" t="s">
        <v>530</v>
      </c>
      <c r="B189" s="189" t="s">
        <v>521</v>
      </c>
      <c r="C189" s="17" t="s">
        <v>334</v>
      </c>
      <c r="D189" s="20" t="s">
        <v>416</v>
      </c>
      <c r="E189" s="16">
        <f t="shared" si="25"/>
        <v>14269.2</v>
      </c>
      <c r="F189" s="22">
        <v>12408</v>
      </c>
      <c r="G189" s="22">
        <f t="shared" si="29"/>
        <v>1861.1999999999998</v>
      </c>
      <c r="H189" s="44">
        <f t="shared" si="23"/>
        <v>248.16</v>
      </c>
      <c r="I189" s="44">
        <f t="shared" si="24"/>
        <v>14021.04</v>
      </c>
    </row>
    <row r="190" spans="1:9" x14ac:dyDescent="0.2">
      <c r="A190" s="17" t="s">
        <v>530</v>
      </c>
      <c r="B190" s="189" t="s">
        <v>521</v>
      </c>
      <c r="C190" s="17" t="s">
        <v>334</v>
      </c>
      <c r="D190" s="20" t="s">
        <v>417</v>
      </c>
      <c r="E190" s="16">
        <f t="shared" si="25"/>
        <v>34396.5</v>
      </c>
      <c r="F190" s="200">
        <v>29910</v>
      </c>
      <c r="G190" s="22">
        <f t="shared" si="29"/>
        <v>4486.5</v>
      </c>
      <c r="H190" s="44">
        <f t="shared" si="23"/>
        <v>598.20000000000005</v>
      </c>
      <c r="I190" s="44">
        <f t="shared" si="24"/>
        <v>33798.300000000003</v>
      </c>
    </row>
    <row r="191" spans="1:9" x14ac:dyDescent="0.2">
      <c r="A191" s="17" t="s">
        <v>541</v>
      </c>
      <c r="B191" s="189" t="s">
        <v>404</v>
      </c>
      <c r="C191" s="17" t="s">
        <v>339</v>
      </c>
      <c r="D191" s="69" t="s">
        <v>539</v>
      </c>
      <c r="E191" s="16">
        <f t="shared" si="25"/>
        <v>48420.75</v>
      </c>
      <c r="F191" s="22">
        <v>42105</v>
      </c>
      <c r="G191" s="44">
        <f t="shared" si="29"/>
        <v>6315.75</v>
      </c>
      <c r="H191" s="44">
        <f t="shared" si="23"/>
        <v>842.1</v>
      </c>
      <c r="I191" s="44">
        <f t="shared" si="24"/>
        <v>47578.65</v>
      </c>
    </row>
    <row r="192" spans="1:9" x14ac:dyDescent="0.2">
      <c r="A192" s="17" t="s">
        <v>541</v>
      </c>
      <c r="B192" s="189" t="s">
        <v>464</v>
      </c>
      <c r="C192" s="17" t="s">
        <v>339</v>
      </c>
      <c r="D192" s="69" t="s">
        <v>540</v>
      </c>
      <c r="E192" s="16">
        <f t="shared" si="25"/>
        <v>56699.6</v>
      </c>
      <c r="F192" s="22">
        <v>49304</v>
      </c>
      <c r="G192" s="44">
        <f t="shared" si="29"/>
        <v>7395.5999999999995</v>
      </c>
      <c r="H192" s="44">
        <f t="shared" si="23"/>
        <v>986.08</v>
      </c>
      <c r="I192" s="44">
        <f t="shared" si="24"/>
        <v>55713.52</v>
      </c>
    </row>
    <row r="193" spans="1:9" x14ac:dyDescent="0.2">
      <c r="A193" s="17" t="s">
        <v>541</v>
      </c>
      <c r="B193" s="189" t="s">
        <v>521</v>
      </c>
      <c r="C193" s="17" t="s">
        <v>335</v>
      </c>
      <c r="D193" s="86" t="s">
        <v>542</v>
      </c>
      <c r="E193" s="16">
        <f t="shared" si="25"/>
        <v>14231.25</v>
      </c>
      <c r="F193" s="44">
        <v>12375</v>
      </c>
      <c r="G193" s="44">
        <f t="shared" si="29"/>
        <v>1856.25</v>
      </c>
      <c r="H193" s="44">
        <f t="shared" ref="H193:H257" si="30">F193*2%</f>
        <v>247.5</v>
      </c>
      <c r="I193" s="44">
        <f t="shared" ref="I193:I257" si="31">E193-H193</f>
        <v>13983.75</v>
      </c>
    </row>
    <row r="194" spans="1:9" x14ac:dyDescent="0.2">
      <c r="A194" s="17" t="s">
        <v>541</v>
      </c>
      <c r="B194" s="189" t="s">
        <v>521</v>
      </c>
      <c r="C194" s="17" t="s">
        <v>335</v>
      </c>
      <c r="D194" s="86" t="s">
        <v>544</v>
      </c>
      <c r="E194" s="16">
        <f t="shared" ref="E194:E257" si="32">F194+G194</f>
        <v>23287.5</v>
      </c>
      <c r="F194" s="44">
        <v>20250</v>
      </c>
      <c r="G194" s="44">
        <f t="shared" si="29"/>
        <v>3037.5</v>
      </c>
      <c r="H194" s="44">
        <f t="shared" si="30"/>
        <v>405</v>
      </c>
      <c r="I194" s="44">
        <f t="shared" si="31"/>
        <v>22882.5</v>
      </c>
    </row>
    <row r="195" spans="1:9" x14ac:dyDescent="0.2">
      <c r="A195" s="17" t="s">
        <v>541</v>
      </c>
      <c r="B195" s="189" t="s">
        <v>464</v>
      </c>
      <c r="C195" s="17" t="s">
        <v>335</v>
      </c>
      <c r="D195" s="86" t="s">
        <v>546</v>
      </c>
      <c r="E195" s="16">
        <f t="shared" si="32"/>
        <v>18791</v>
      </c>
      <c r="F195" s="44">
        <v>16340</v>
      </c>
      <c r="G195" s="44">
        <f t="shared" si="29"/>
        <v>2451</v>
      </c>
      <c r="H195" s="44">
        <f t="shared" si="30"/>
        <v>326.8</v>
      </c>
      <c r="I195" s="44">
        <f t="shared" si="31"/>
        <v>18464.2</v>
      </c>
    </row>
    <row r="196" spans="1:9" x14ac:dyDescent="0.2">
      <c r="A196" s="17" t="s">
        <v>550</v>
      </c>
      <c r="B196" s="189" t="s">
        <v>551</v>
      </c>
      <c r="C196" s="17" t="s">
        <v>334</v>
      </c>
      <c r="D196" s="20" t="s">
        <v>418</v>
      </c>
      <c r="E196" s="16">
        <f t="shared" si="32"/>
        <v>123625</v>
      </c>
      <c r="F196" s="22">
        <v>107500</v>
      </c>
      <c r="G196" s="22">
        <f t="shared" si="29"/>
        <v>16125</v>
      </c>
      <c r="H196" s="44">
        <f t="shared" si="30"/>
        <v>2150</v>
      </c>
      <c r="I196" s="44">
        <f t="shared" si="31"/>
        <v>121475</v>
      </c>
    </row>
    <row r="197" spans="1:9" x14ac:dyDescent="0.2">
      <c r="A197" s="17" t="s">
        <v>550</v>
      </c>
      <c r="B197" s="189" t="s">
        <v>551</v>
      </c>
      <c r="C197" s="17" t="s">
        <v>334</v>
      </c>
      <c r="D197" s="20" t="s">
        <v>419</v>
      </c>
      <c r="E197" s="16">
        <f t="shared" si="32"/>
        <v>41824.35</v>
      </c>
      <c r="F197" s="212">
        <v>36369</v>
      </c>
      <c r="G197" s="22">
        <f t="shared" si="29"/>
        <v>5455.3499999999995</v>
      </c>
      <c r="H197" s="44">
        <f t="shared" si="30"/>
        <v>727.38</v>
      </c>
      <c r="I197" s="44">
        <f t="shared" si="31"/>
        <v>41096.97</v>
      </c>
    </row>
    <row r="198" spans="1:9" x14ac:dyDescent="0.2">
      <c r="A198" s="17" t="s">
        <v>550</v>
      </c>
      <c r="B198" s="189" t="s">
        <v>521</v>
      </c>
      <c r="C198" s="17" t="s">
        <v>341</v>
      </c>
      <c r="D198" s="213" t="s">
        <v>552</v>
      </c>
      <c r="E198" s="16">
        <f t="shared" si="32"/>
        <v>41202.775000000001</v>
      </c>
      <c r="F198" s="214">
        <f>143314*0.25</f>
        <v>35828.5</v>
      </c>
      <c r="G198" s="44">
        <f t="shared" si="29"/>
        <v>5374.2749999999996</v>
      </c>
      <c r="H198" s="44">
        <f t="shared" si="30"/>
        <v>716.57</v>
      </c>
      <c r="I198" s="44">
        <f t="shared" si="31"/>
        <v>40486.205000000002</v>
      </c>
    </row>
    <row r="199" spans="1:9" x14ac:dyDescent="0.2">
      <c r="A199" s="17" t="s">
        <v>556</v>
      </c>
      <c r="B199" s="189" t="s">
        <v>464</v>
      </c>
      <c r="C199" s="17" t="s">
        <v>342</v>
      </c>
      <c r="D199" s="44" t="s">
        <v>555</v>
      </c>
      <c r="E199" s="16">
        <f t="shared" si="32"/>
        <v>120831.65</v>
      </c>
      <c r="F199" s="44">
        <v>105071</v>
      </c>
      <c r="G199" s="44">
        <f t="shared" si="29"/>
        <v>15760.65</v>
      </c>
      <c r="H199" s="44">
        <f t="shared" si="30"/>
        <v>2101.42</v>
      </c>
      <c r="I199" s="44">
        <f t="shared" si="31"/>
        <v>118730.23</v>
      </c>
    </row>
    <row r="200" spans="1:9" x14ac:dyDescent="0.2">
      <c r="A200" s="17" t="s">
        <v>560</v>
      </c>
      <c r="B200" s="189" t="s">
        <v>464</v>
      </c>
      <c r="C200" s="17" t="s">
        <v>330</v>
      </c>
      <c r="D200" s="69" t="s">
        <v>559</v>
      </c>
      <c r="E200" s="16">
        <f t="shared" si="32"/>
        <v>368018.4</v>
      </c>
      <c r="F200" s="22">
        <v>320016</v>
      </c>
      <c r="G200" s="16">
        <f t="shared" si="29"/>
        <v>48002.400000000001</v>
      </c>
      <c r="H200" s="44">
        <f t="shared" si="30"/>
        <v>6400.32</v>
      </c>
      <c r="I200" s="44">
        <f t="shared" si="31"/>
        <v>361618.08</v>
      </c>
    </row>
    <row r="201" spans="1:9" x14ac:dyDescent="0.2">
      <c r="A201" s="20" t="s">
        <v>596</v>
      </c>
      <c r="B201" s="189" t="s">
        <v>551</v>
      </c>
      <c r="C201" s="17" t="s">
        <v>334</v>
      </c>
      <c r="D201" s="20" t="s">
        <v>420</v>
      </c>
      <c r="E201" s="16">
        <f t="shared" si="32"/>
        <v>27651.75</v>
      </c>
      <c r="F201" s="22">
        <v>24045</v>
      </c>
      <c r="G201" s="22">
        <f t="shared" si="29"/>
        <v>3606.75</v>
      </c>
      <c r="H201" s="44">
        <f t="shared" si="30"/>
        <v>480.90000000000003</v>
      </c>
      <c r="I201" s="44">
        <f t="shared" si="31"/>
        <v>27170.85</v>
      </c>
    </row>
    <row r="202" spans="1:9" x14ac:dyDescent="0.2">
      <c r="A202" s="20" t="s">
        <v>597</v>
      </c>
      <c r="B202" s="189" t="s">
        <v>551</v>
      </c>
      <c r="C202" s="17" t="s">
        <v>334</v>
      </c>
      <c r="D202" s="20" t="s">
        <v>421</v>
      </c>
      <c r="E202" s="16">
        <f t="shared" si="32"/>
        <v>86250</v>
      </c>
      <c r="F202" s="22">
        <v>75000</v>
      </c>
      <c r="G202" s="22">
        <f t="shared" si="29"/>
        <v>11250</v>
      </c>
      <c r="H202" s="44">
        <f t="shared" si="30"/>
        <v>1500</v>
      </c>
      <c r="I202" s="44">
        <f t="shared" si="31"/>
        <v>84750</v>
      </c>
    </row>
    <row r="203" spans="1:9" x14ac:dyDescent="0.2">
      <c r="A203" s="20" t="s">
        <v>597</v>
      </c>
      <c r="B203" s="189" t="s">
        <v>551</v>
      </c>
      <c r="C203" s="17" t="s">
        <v>334</v>
      </c>
      <c r="D203" s="20" t="s">
        <v>422</v>
      </c>
      <c r="E203" s="16">
        <f t="shared" si="32"/>
        <v>431250</v>
      </c>
      <c r="F203" s="22">
        <v>375000</v>
      </c>
      <c r="G203" s="22">
        <f t="shared" si="29"/>
        <v>56250</v>
      </c>
      <c r="H203" s="44">
        <f t="shared" si="30"/>
        <v>7500</v>
      </c>
      <c r="I203" s="44">
        <f t="shared" si="31"/>
        <v>423750</v>
      </c>
    </row>
    <row r="204" spans="1:9" x14ac:dyDescent="0.2">
      <c r="A204" s="20" t="s">
        <v>597</v>
      </c>
      <c r="B204" s="189" t="s">
        <v>551</v>
      </c>
      <c r="C204" s="17" t="s">
        <v>334</v>
      </c>
      <c r="D204" s="20" t="s">
        <v>423</v>
      </c>
      <c r="E204" s="16">
        <f t="shared" si="32"/>
        <v>19941</v>
      </c>
      <c r="F204" s="22">
        <v>17340</v>
      </c>
      <c r="G204" s="22">
        <f t="shared" si="29"/>
        <v>2601</v>
      </c>
      <c r="H204" s="44">
        <f t="shared" si="30"/>
        <v>346.8</v>
      </c>
      <c r="I204" s="44">
        <f t="shared" si="31"/>
        <v>19594.2</v>
      </c>
    </row>
    <row r="205" spans="1:9" x14ac:dyDescent="0.2">
      <c r="A205" s="20" t="s">
        <v>597</v>
      </c>
      <c r="B205" s="189" t="s">
        <v>551</v>
      </c>
      <c r="C205" s="17" t="s">
        <v>334</v>
      </c>
      <c r="D205" s="20" t="s">
        <v>424</v>
      </c>
      <c r="E205" s="16">
        <f t="shared" si="32"/>
        <v>26965.200000000001</v>
      </c>
      <c r="F205" s="22">
        <v>23448</v>
      </c>
      <c r="G205" s="22">
        <f t="shared" si="29"/>
        <v>3517.2</v>
      </c>
      <c r="H205" s="44">
        <f t="shared" si="30"/>
        <v>468.96000000000004</v>
      </c>
      <c r="I205" s="44">
        <f t="shared" si="31"/>
        <v>26496.240000000002</v>
      </c>
    </row>
    <row r="206" spans="1:9" x14ac:dyDescent="0.2">
      <c r="A206" s="20" t="s">
        <v>597</v>
      </c>
      <c r="B206" s="189" t="s">
        <v>551</v>
      </c>
      <c r="C206" s="17" t="s">
        <v>334</v>
      </c>
      <c r="D206" s="20" t="s">
        <v>425</v>
      </c>
      <c r="E206" s="16">
        <f t="shared" si="32"/>
        <v>194062.5</v>
      </c>
      <c r="F206" s="22">
        <v>168750</v>
      </c>
      <c r="G206" s="22">
        <f t="shared" si="29"/>
        <v>25312.5</v>
      </c>
      <c r="H206" s="44">
        <f t="shared" si="30"/>
        <v>3375</v>
      </c>
      <c r="I206" s="44">
        <f t="shared" si="31"/>
        <v>190687.5</v>
      </c>
    </row>
    <row r="207" spans="1:9" x14ac:dyDescent="0.2">
      <c r="A207" s="20" t="s">
        <v>597</v>
      </c>
      <c r="B207" s="189" t="s">
        <v>551</v>
      </c>
      <c r="C207" s="17" t="s">
        <v>334</v>
      </c>
      <c r="D207" s="20" t="s">
        <v>426</v>
      </c>
      <c r="E207" s="16">
        <f t="shared" si="32"/>
        <v>100625</v>
      </c>
      <c r="F207" s="22">
        <v>87500</v>
      </c>
      <c r="G207" s="22">
        <f t="shared" si="29"/>
        <v>13125</v>
      </c>
      <c r="H207" s="44">
        <f t="shared" si="30"/>
        <v>1750</v>
      </c>
      <c r="I207" s="44">
        <f t="shared" si="31"/>
        <v>98875</v>
      </c>
    </row>
    <row r="208" spans="1:9" x14ac:dyDescent="0.2">
      <c r="A208" s="20" t="s">
        <v>598</v>
      </c>
      <c r="B208" s="189" t="s">
        <v>551</v>
      </c>
      <c r="C208" s="17" t="s">
        <v>334</v>
      </c>
      <c r="D208" s="20" t="s">
        <v>561</v>
      </c>
      <c r="E208" s="16">
        <f t="shared" si="32"/>
        <v>100625</v>
      </c>
      <c r="F208" s="22">
        <v>87500</v>
      </c>
      <c r="G208" s="22">
        <f t="shared" si="29"/>
        <v>13125</v>
      </c>
      <c r="H208" s="44">
        <f t="shared" si="30"/>
        <v>1750</v>
      </c>
      <c r="I208" s="44">
        <f t="shared" si="31"/>
        <v>98875</v>
      </c>
    </row>
    <row r="209" spans="1:9" x14ac:dyDescent="0.2">
      <c r="A209" s="17" t="s">
        <v>560</v>
      </c>
      <c r="B209" s="189" t="s">
        <v>551</v>
      </c>
      <c r="C209" s="17" t="s">
        <v>335</v>
      </c>
      <c r="D209" s="86" t="s">
        <v>594</v>
      </c>
      <c r="E209" s="16">
        <f t="shared" si="32"/>
        <v>33637.5</v>
      </c>
      <c r="F209" s="44">
        <f>650000/1000*45</f>
        <v>29250</v>
      </c>
      <c r="G209" s="44">
        <f t="shared" si="29"/>
        <v>4387.5</v>
      </c>
      <c r="H209" s="44">
        <f t="shared" si="30"/>
        <v>585</v>
      </c>
      <c r="I209" s="44">
        <f t="shared" si="31"/>
        <v>33052.5</v>
      </c>
    </row>
    <row r="210" spans="1:9" x14ac:dyDescent="0.2">
      <c r="A210" s="17" t="s">
        <v>560</v>
      </c>
      <c r="B210" s="189" t="s">
        <v>464</v>
      </c>
      <c r="C210" s="17" t="s">
        <v>15</v>
      </c>
      <c r="D210" s="97" t="s">
        <v>599</v>
      </c>
      <c r="E210" s="16">
        <f t="shared" si="32"/>
        <v>327958.15000000002</v>
      </c>
      <c r="F210" s="22">
        <v>285181</v>
      </c>
      <c r="G210" s="44">
        <f t="shared" si="29"/>
        <v>42777.15</v>
      </c>
      <c r="H210" s="44">
        <f t="shared" si="30"/>
        <v>5703.62</v>
      </c>
      <c r="I210" s="44">
        <f t="shared" si="31"/>
        <v>322254.53000000003</v>
      </c>
    </row>
    <row r="211" spans="1:9" x14ac:dyDescent="0.2">
      <c r="A211" s="17" t="s">
        <v>608</v>
      </c>
      <c r="B211" s="189" t="s">
        <v>340</v>
      </c>
      <c r="C211" s="17" t="s">
        <v>337</v>
      </c>
      <c r="D211" s="17" t="s">
        <v>601</v>
      </c>
      <c r="E211" s="16">
        <f t="shared" si="32"/>
        <v>97444.1</v>
      </c>
      <c r="F211" s="44">
        <v>84734</v>
      </c>
      <c r="G211" s="22">
        <f t="shared" si="29"/>
        <v>12710.1</v>
      </c>
      <c r="H211" s="44">
        <f t="shared" si="30"/>
        <v>1694.68</v>
      </c>
      <c r="I211" s="44">
        <f t="shared" si="31"/>
        <v>95749.420000000013</v>
      </c>
    </row>
    <row r="212" spans="1:9" x14ac:dyDescent="0.2">
      <c r="A212" s="17" t="s">
        <v>608</v>
      </c>
      <c r="B212" s="189" t="s">
        <v>350</v>
      </c>
      <c r="C212" s="17" t="s">
        <v>337</v>
      </c>
      <c r="D212" s="17" t="s">
        <v>602</v>
      </c>
      <c r="E212" s="16">
        <f t="shared" si="32"/>
        <v>23143.75</v>
      </c>
      <c r="F212" s="44">
        <v>20125</v>
      </c>
      <c r="G212" s="22">
        <f t="shared" si="29"/>
        <v>3018.75</v>
      </c>
      <c r="H212" s="44">
        <f t="shared" si="30"/>
        <v>402.5</v>
      </c>
      <c r="I212" s="44">
        <f t="shared" si="31"/>
        <v>22741.25</v>
      </c>
    </row>
    <row r="213" spans="1:9" x14ac:dyDescent="0.2">
      <c r="A213" s="17" t="s">
        <v>608</v>
      </c>
      <c r="B213" s="189" t="s">
        <v>352</v>
      </c>
      <c r="C213" s="17" t="s">
        <v>337</v>
      </c>
      <c r="D213" s="17" t="s">
        <v>603</v>
      </c>
      <c r="E213" s="16">
        <f t="shared" si="32"/>
        <v>21187.599999999999</v>
      </c>
      <c r="F213" s="44">
        <v>18424</v>
      </c>
      <c r="G213" s="22">
        <f t="shared" si="29"/>
        <v>2763.6</v>
      </c>
      <c r="H213" s="44">
        <f t="shared" si="30"/>
        <v>368.48</v>
      </c>
      <c r="I213" s="44">
        <f t="shared" si="31"/>
        <v>20819.12</v>
      </c>
    </row>
    <row r="214" spans="1:9" x14ac:dyDescent="0.2">
      <c r="A214" s="17" t="s">
        <v>608</v>
      </c>
      <c r="B214" s="189" t="s">
        <v>358</v>
      </c>
      <c r="C214" s="17" t="s">
        <v>337</v>
      </c>
      <c r="D214" s="17" t="s">
        <v>604</v>
      </c>
      <c r="E214" s="16">
        <f t="shared" si="32"/>
        <v>552</v>
      </c>
      <c r="F214" s="44">
        <v>480</v>
      </c>
      <c r="G214" s="22">
        <f t="shared" si="29"/>
        <v>72</v>
      </c>
      <c r="H214" s="44">
        <f t="shared" si="30"/>
        <v>9.6</v>
      </c>
      <c r="I214" s="44">
        <f t="shared" si="31"/>
        <v>542.4</v>
      </c>
    </row>
    <row r="215" spans="1:9" x14ac:dyDescent="0.2">
      <c r="A215" s="17" t="s">
        <v>608</v>
      </c>
      <c r="B215" s="189" t="s">
        <v>404</v>
      </c>
      <c r="C215" s="17" t="s">
        <v>337</v>
      </c>
      <c r="D215" s="17" t="s">
        <v>605</v>
      </c>
      <c r="E215" s="16">
        <f t="shared" si="32"/>
        <v>14455.5</v>
      </c>
      <c r="F215" s="44">
        <v>12570</v>
      </c>
      <c r="G215" s="22">
        <f t="shared" si="29"/>
        <v>1885.5</v>
      </c>
      <c r="H215" s="44">
        <f t="shared" si="30"/>
        <v>251.4</v>
      </c>
      <c r="I215" s="44">
        <f t="shared" si="31"/>
        <v>14204.1</v>
      </c>
    </row>
    <row r="216" spans="1:9" x14ac:dyDescent="0.2">
      <c r="A216" s="17" t="s">
        <v>608</v>
      </c>
      <c r="B216" s="189" t="s">
        <v>464</v>
      </c>
      <c r="C216" s="17" t="s">
        <v>337</v>
      </c>
      <c r="D216" s="17" t="s">
        <v>606</v>
      </c>
      <c r="E216" s="16">
        <f t="shared" si="32"/>
        <v>36409</v>
      </c>
      <c r="F216" s="44">
        <v>31660</v>
      </c>
      <c r="G216" s="22">
        <f t="shared" si="29"/>
        <v>4749</v>
      </c>
      <c r="H216" s="44">
        <f t="shared" si="30"/>
        <v>633.20000000000005</v>
      </c>
      <c r="I216" s="44">
        <f t="shared" si="31"/>
        <v>35775.800000000003</v>
      </c>
    </row>
    <row r="217" spans="1:9" x14ac:dyDescent="0.2">
      <c r="A217" s="17" t="s">
        <v>608</v>
      </c>
      <c r="B217" s="189" t="s">
        <v>521</v>
      </c>
      <c r="C217" s="17" t="s">
        <v>337</v>
      </c>
      <c r="D217" s="17" t="s">
        <v>607</v>
      </c>
      <c r="E217" s="16">
        <f t="shared" si="32"/>
        <v>14628</v>
      </c>
      <c r="F217" s="44">
        <v>12720</v>
      </c>
      <c r="G217" s="22">
        <f t="shared" si="29"/>
        <v>1908</v>
      </c>
      <c r="H217" s="44">
        <f t="shared" si="30"/>
        <v>254.4</v>
      </c>
      <c r="I217" s="44">
        <f t="shared" si="31"/>
        <v>14373.6</v>
      </c>
    </row>
    <row r="218" spans="1:9" x14ac:dyDescent="0.2">
      <c r="A218" s="17" t="s">
        <v>560</v>
      </c>
      <c r="B218" s="189" t="s">
        <v>551</v>
      </c>
      <c r="C218" s="17" t="s">
        <v>335</v>
      </c>
      <c r="D218" s="86" t="s">
        <v>609</v>
      </c>
      <c r="E218" s="16">
        <f t="shared" si="32"/>
        <v>2875</v>
      </c>
      <c r="F218" s="44">
        <v>2500</v>
      </c>
      <c r="G218" s="44">
        <f t="shared" si="29"/>
        <v>375</v>
      </c>
      <c r="H218" s="44">
        <f t="shared" si="30"/>
        <v>50</v>
      </c>
      <c r="I218" s="44">
        <f t="shared" si="31"/>
        <v>2825</v>
      </c>
    </row>
    <row r="219" spans="1:9" x14ac:dyDescent="0.2">
      <c r="A219" s="17" t="s">
        <v>613</v>
      </c>
      <c r="B219" s="189" t="s">
        <v>551</v>
      </c>
      <c r="C219" s="17" t="s">
        <v>1</v>
      </c>
      <c r="D219" s="22" t="s">
        <v>610</v>
      </c>
      <c r="E219" s="16">
        <f t="shared" si="32"/>
        <v>15304.2</v>
      </c>
      <c r="F219" s="22">
        <v>13308</v>
      </c>
      <c r="G219" s="44">
        <f t="shared" si="29"/>
        <v>1996.1999999999998</v>
      </c>
      <c r="H219" s="44">
        <f t="shared" si="30"/>
        <v>266.16000000000003</v>
      </c>
      <c r="I219" s="44">
        <f t="shared" si="31"/>
        <v>15038.04</v>
      </c>
    </row>
    <row r="220" spans="1:9" x14ac:dyDescent="0.2">
      <c r="A220" s="17" t="s">
        <v>560</v>
      </c>
      <c r="B220" s="189" t="s">
        <v>551</v>
      </c>
      <c r="C220" s="17" t="s">
        <v>334</v>
      </c>
      <c r="D220" s="20" t="s">
        <v>562</v>
      </c>
      <c r="E220" s="16">
        <f t="shared" si="32"/>
        <v>89700</v>
      </c>
      <c r="F220" s="22">
        <v>78000</v>
      </c>
      <c r="G220" s="22">
        <f t="shared" si="29"/>
        <v>11700</v>
      </c>
      <c r="H220" s="44">
        <f t="shared" si="30"/>
        <v>1560</v>
      </c>
      <c r="I220" s="44">
        <f t="shared" si="31"/>
        <v>88140</v>
      </c>
    </row>
    <row r="221" spans="1:9" x14ac:dyDescent="0.2">
      <c r="A221" s="17" t="s">
        <v>613</v>
      </c>
      <c r="B221" s="189" t="s">
        <v>551</v>
      </c>
      <c r="C221" s="17" t="s">
        <v>16</v>
      </c>
      <c r="D221" s="69" t="s">
        <v>617</v>
      </c>
      <c r="E221" s="16">
        <f t="shared" si="32"/>
        <v>76475</v>
      </c>
      <c r="F221" s="22">
        <v>66500</v>
      </c>
      <c r="G221" s="22">
        <f t="shared" si="29"/>
        <v>9975</v>
      </c>
      <c r="H221" s="44">
        <f t="shared" si="30"/>
        <v>1330</v>
      </c>
      <c r="I221" s="44">
        <f t="shared" si="31"/>
        <v>75145</v>
      </c>
    </row>
    <row r="222" spans="1:9" x14ac:dyDescent="0.2">
      <c r="A222" s="17" t="s">
        <v>613</v>
      </c>
      <c r="B222" s="189" t="s">
        <v>551</v>
      </c>
      <c r="C222" s="17" t="s">
        <v>622</v>
      </c>
      <c r="D222" s="22" t="s">
        <v>620</v>
      </c>
      <c r="E222" s="44">
        <f t="shared" ref="E222" si="33">SUM(F222:G222)</f>
        <v>13874.75</v>
      </c>
      <c r="F222" s="22">
        <v>12065</v>
      </c>
      <c r="G222" s="44">
        <f>F222*15%</f>
        <v>1809.75</v>
      </c>
      <c r="H222" s="44">
        <f t="shared" si="30"/>
        <v>241.3</v>
      </c>
      <c r="I222" s="44">
        <f t="shared" si="31"/>
        <v>13633.45</v>
      </c>
    </row>
    <row r="223" spans="1:9" x14ac:dyDescent="0.2">
      <c r="A223" s="17" t="s">
        <v>613</v>
      </c>
      <c r="B223" s="189" t="s">
        <v>551</v>
      </c>
      <c r="C223" s="17" t="s">
        <v>12</v>
      </c>
      <c r="D223" s="44" t="s">
        <v>623</v>
      </c>
      <c r="E223" s="16">
        <f t="shared" si="32"/>
        <v>225034.3</v>
      </c>
      <c r="F223" s="44">
        <v>195682</v>
      </c>
      <c r="G223" s="44">
        <f t="shared" ref="G223:G242" si="34">F223*15%</f>
        <v>29352.3</v>
      </c>
      <c r="H223" s="44">
        <f t="shared" si="30"/>
        <v>3913.64</v>
      </c>
      <c r="I223" s="44">
        <f t="shared" si="31"/>
        <v>221120.65999999997</v>
      </c>
    </row>
    <row r="224" spans="1:9" x14ac:dyDescent="0.2">
      <c r="A224" s="17" t="s">
        <v>626</v>
      </c>
      <c r="B224" s="189" t="s">
        <v>521</v>
      </c>
      <c r="C224" s="17" t="s">
        <v>339</v>
      </c>
      <c r="D224" s="69" t="s">
        <v>625</v>
      </c>
      <c r="E224" s="16">
        <f t="shared" si="32"/>
        <v>88347.6</v>
      </c>
      <c r="F224" s="22">
        <v>76824</v>
      </c>
      <c r="G224" s="44">
        <f t="shared" si="34"/>
        <v>11523.6</v>
      </c>
      <c r="H224" s="44">
        <f t="shared" si="30"/>
        <v>1536.48</v>
      </c>
      <c r="I224" s="44">
        <f t="shared" si="31"/>
        <v>86811.12000000001</v>
      </c>
    </row>
    <row r="225" spans="1:9" x14ac:dyDescent="0.2">
      <c r="A225" s="17" t="s">
        <v>628</v>
      </c>
      <c r="B225" s="189" t="s">
        <v>551</v>
      </c>
      <c r="C225" s="17" t="s">
        <v>338</v>
      </c>
      <c r="D225" s="44" t="s">
        <v>627</v>
      </c>
      <c r="E225" s="16">
        <f t="shared" si="32"/>
        <v>3038.3</v>
      </c>
      <c r="F225" s="44">
        <v>2642</v>
      </c>
      <c r="G225" s="22">
        <f t="shared" si="34"/>
        <v>396.3</v>
      </c>
      <c r="H225" s="44">
        <f t="shared" si="30"/>
        <v>52.84</v>
      </c>
      <c r="I225" s="44">
        <f t="shared" si="31"/>
        <v>2985.46</v>
      </c>
    </row>
    <row r="226" spans="1:9" x14ac:dyDescent="0.2">
      <c r="A226" s="17" t="s">
        <v>628</v>
      </c>
      <c r="B226" s="189" t="s">
        <v>551</v>
      </c>
      <c r="C226" s="17" t="s">
        <v>338</v>
      </c>
      <c r="D226" s="44" t="s">
        <v>629</v>
      </c>
      <c r="E226" s="16">
        <f t="shared" si="32"/>
        <v>70599.649999999994</v>
      </c>
      <c r="F226" s="44">
        <v>61391</v>
      </c>
      <c r="G226" s="22">
        <f t="shared" si="34"/>
        <v>9208.65</v>
      </c>
      <c r="H226" s="44">
        <f t="shared" si="30"/>
        <v>1227.82</v>
      </c>
      <c r="I226" s="44">
        <f t="shared" si="31"/>
        <v>69371.829999999987</v>
      </c>
    </row>
    <row r="227" spans="1:9" x14ac:dyDescent="0.2">
      <c r="A227" s="17" t="s">
        <v>628</v>
      </c>
      <c r="B227" s="189" t="s">
        <v>551</v>
      </c>
      <c r="C227" s="17" t="s">
        <v>324</v>
      </c>
      <c r="D227" s="97" t="s">
        <v>631</v>
      </c>
      <c r="E227" s="16">
        <f t="shared" si="32"/>
        <v>24982.6</v>
      </c>
      <c r="F227" s="22">
        <v>21724</v>
      </c>
      <c r="G227" s="44">
        <f t="shared" si="34"/>
        <v>3258.6</v>
      </c>
      <c r="H227" s="44">
        <f t="shared" si="30"/>
        <v>434.48</v>
      </c>
      <c r="I227" s="44">
        <f t="shared" si="31"/>
        <v>24548.12</v>
      </c>
    </row>
    <row r="228" spans="1:9" x14ac:dyDescent="0.2">
      <c r="A228" s="45" t="s">
        <v>639</v>
      </c>
      <c r="B228" s="189" t="s">
        <v>551</v>
      </c>
      <c r="C228" s="17" t="s">
        <v>337</v>
      </c>
      <c r="D228" s="17" t="s">
        <v>633</v>
      </c>
      <c r="E228" s="16">
        <f t="shared" si="32"/>
        <v>115000</v>
      </c>
      <c r="F228" s="44">
        <v>100000</v>
      </c>
      <c r="G228" s="22">
        <f t="shared" si="34"/>
        <v>15000</v>
      </c>
      <c r="H228" s="44">
        <f t="shared" si="30"/>
        <v>2000</v>
      </c>
      <c r="I228" s="44">
        <f t="shared" si="31"/>
        <v>113000</v>
      </c>
    </row>
    <row r="229" spans="1:9" x14ac:dyDescent="0.2">
      <c r="A229" s="45" t="s">
        <v>639</v>
      </c>
      <c r="B229" s="189" t="s">
        <v>551</v>
      </c>
      <c r="C229" s="17" t="s">
        <v>337</v>
      </c>
      <c r="D229" s="17" t="s">
        <v>635</v>
      </c>
      <c r="E229" s="16">
        <f t="shared" si="32"/>
        <v>56307.45</v>
      </c>
      <c r="F229" s="44">
        <v>48963</v>
      </c>
      <c r="G229" s="22">
        <f t="shared" si="34"/>
        <v>7344.45</v>
      </c>
      <c r="H229" s="44">
        <f t="shared" si="30"/>
        <v>979.26</v>
      </c>
      <c r="I229" s="44">
        <f t="shared" si="31"/>
        <v>55328.189999999995</v>
      </c>
    </row>
    <row r="230" spans="1:9" x14ac:dyDescent="0.2">
      <c r="A230" s="45" t="s">
        <v>639</v>
      </c>
      <c r="B230" s="189" t="s">
        <v>551</v>
      </c>
      <c r="C230" s="17" t="s">
        <v>337</v>
      </c>
      <c r="D230" s="17" t="s">
        <v>637</v>
      </c>
      <c r="E230" s="16">
        <f t="shared" si="32"/>
        <v>66166.399999999994</v>
      </c>
      <c r="F230" s="44">
        <v>57536</v>
      </c>
      <c r="G230" s="22">
        <f t="shared" si="34"/>
        <v>8630.4</v>
      </c>
      <c r="H230" s="44">
        <f t="shared" si="30"/>
        <v>1150.72</v>
      </c>
      <c r="I230" s="44">
        <f t="shared" si="31"/>
        <v>65015.679999999993</v>
      </c>
    </row>
    <row r="231" spans="1:9" x14ac:dyDescent="0.2">
      <c r="A231" s="20" t="s">
        <v>613</v>
      </c>
      <c r="B231" s="189" t="s">
        <v>649</v>
      </c>
      <c r="C231" s="17" t="s">
        <v>334</v>
      </c>
      <c r="D231" s="20" t="s">
        <v>563</v>
      </c>
      <c r="E231" s="16">
        <f t="shared" si="32"/>
        <v>330625</v>
      </c>
      <c r="F231" s="22">
        <v>287500</v>
      </c>
      <c r="G231" s="22">
        <f t="shared" si="34"/>
        <v>43125</v>
      </c>
      <c r="H231" s="44">
        <f t="shared" si="30"/>
        <v>5750</v>
      </c>
      <c r="I231" s="44">
        <f t="shared" si="31"/>
        <v>324875</v>
      </c>
    </row>
    <row r="232" spans="1:9" x14ac:dyDescent="0.2">
      <c r="A232" s="20" t="s">
        <v>626</v>
      </c>
      <c r="B232" s="189" t="s">
        <v>649</v>
      </c>
      <c r="C232" s="17" t="s">
        <v>334</v>
      </c>
      <c r="D232" s="20" t="s">
        <v>564</v>
      </c>
      <c r="E232" s="16">
        <f t="shared" si="32"/>
        <v>87400</v>
      </c>
      <c r="F232" s="22">
        <v>76000</v>
      </c>
      <c r="G232" s="22">
        <f t="shared" si="34"/>
        <v>11400</v>
      </c>
      <c r="H232" s="44">
        <f t="shared" si="30"/>
        <v>1520</v>
      </c>
      <c r="I232" s="44">
        <f t="shared" si="31"/>
        <v>85880</v>
      </c>
    </row>
    <row r="233" spans="1:9" x14ac:dyDescent="0.2">
      <c r="A233" s="20" t="s">
        <v>626</v>
      </c>
      <c r="B233" s="189" t="s">
        <v>649</v>
      </c>
      <c r="C233" s="17" t="s">
        <v>334</v>
      </c>
      <c r="D233" s="20" t="s">
        <v>565</v>
      </c>
      <c r="E233" s="16">
        <f t="shared" si="32"/>
        <v>28750</v>
      </c>
      <c r="F233" s="22">
        <v>25000</v>
      </c>
      <c r="G233" s="22">
        <f t="shared" si="34"/>
        <v>3750</v>
      </c>
      <c r="H233" s="44">
        <f t="shared" si="30"/>
        <v>500</v>
      </c>
      <c r="I233" s="44">
        <f t="shared" si="31"/>
        <v>28250</v>
      </c>
    </row>
    <row r="234" spans="1:9" x14ac:dyDescent="0.2">
      <c r="A234" s="20" t="s">
        <v>648</v>
      </c>
      <c r="B234" s="189" t="s">
        <v>649</v>
      </c>
      <c r="C234" s="17" t="s">
        <v>334</v>
      </c>
      <c r="D234" s="20" t="s">
        <v>566</v>
      </c>
      <c r="E234" s="16">
        <f t="shared" si="32"/>
        <v>39393.25</v>
      </c>
      <c r="F234" s="22">
        <v>34255</v>
      </c>
      <c r="G234" s="22">
        <f t="shared" si="34"/>
        <v>5138.25</v>
      </c>
      <c r="H234" s="44">
        <f t="shared" si="30"/>
        <v>685.1</v>
      </c>
      <c r="I234" s="44">
        <f t="shared" si="31"/>
        <v>38708.15</v>
      </c>
    </row>
    <row r="235" spans="1:9" x14ac:dyDescent="0.2">
      <c r="A235" s="20" t="s">
        <v>639</v>
      </c>
      <c r="B235" s="189" t="s">
        <v>649</v>
      </c>
      <c r="C235" s="17" t="s">
        <v>334</v>
      </c>
      <c r="D235" s="20" t="s">
        <v>567</v>
      </c>
      <c r="E235" s="16">
        <f t="shared" si="32"/>
        <v>40250</v>
      </c>
      <c r="F235" s="22">
        <v>35000</v>
      </c>
      <c r="G235" s="22">
        <f t="shared" si="34"/>
        <v>5250</v>
      </c>
      <c r="H235" s="44">
        <f t="shared" si="30"/>
        <v>700</v>
      </c>
      <c r="I235" s="44">
        <f t="shared" si="31"/>
        <v>39550</v>
      </c>
    </row>
    <row r="236" spans="1:9" x14ac:dyDescent="0.2">
      <c r="A236" s="15" t="s">
        <v>656</v>
      </c>
      <c r="B236" s="189" t="s">
        <v>551</v>
      </c>
      <c r="C236" s="17" t="s">
        <v>16</v>
      </c>
      <c r="D236" s="69" t="s">
        <v>654</v>
      </c>
      <c r="E236" s="16">
        <f t="shared" si="32"/>
        <v>38756.15</v>
      </c>
      <c r="F236" s="22">
        <v>33701</v>
      </c>
      <c r="G236" s="22">
        <f t="shared" si="34"/>
        <v>5055.1499999999996</v>
      </c>
      <c r="H236" s="44">
        <f t="shared" si="30"/>
        <v>674.02</v>
      </c>
      <c r="I236" s="44">
        <f t="shared" si="31"/>
        <v>38082.130000000005</v>
      </c>
    </row>
    <row r="237" spans="1:9" x14ac:dyDescent="0.2">
      <c r="A237" s="15" t="s">
        <v>656</v>
      </c>
      <c r="B237" s="189" t="s">
        <v>649</v>
      </c>
      <c r="C237" s="17" t="s">
        <v>334</v>
      </c>
      <c r="D237" s="20" t="s">
        <v>568</v>
      </c>
      <c r="E237" s="16">
        <f t="shared" si="32"/>
        <v>169625</v>
      </c>
      <c r="F237" s="22">
        <v>147500</v>
      </c>
      <c r="G237" s="22">
        <f t="shared" si="34"/>
        <v>22125</v>
      </c>
      <c r="H237" s="44">
        <f t="shared" si="30"/>
        <v>2950</v>
      </c>
      <c r="I237" s="44">
        <f t="shared" si="31"/>
        <v>166675</v>
      </c>
    </row>
    <row r="238" spans="1:9" x14ac:dyDescent="0.2">
      <c r="A238" s="15" t="s">
        <v>656</v>
      </c>
      <c r="B238" s="189" t="s">
        <v>649</v>
      </c>
      <c r="C238" s="17" t="s">
        <v>334</v>
      </c>
      <c r="D238" s="20" t="s">
        <v>569</v>
      </c>
      <c r="E238" s="16">
        <f t="shared" si="32"/>
        <v>258750</v>
      </c>
      <c r="F238" s="22">
        <v>225000</v>
      </c>
      <c r="G238" s="22">
        <f t="shared" si="34"/>
        <v>33750</v>
      </c>
      <c r="H238" s="44">
        <f t="shared" si="30"/>
        <v>4500</v>
      </c>
      <c r="I238" s="44">
        <f t="shared" si="31"/>
        <v>254250</v>
      </c>
    </row>
    <row r="239" spans="1:9" x14ac:dyDescent="0.2">
      <c r="A239" s="15" t="s">
        <v>656</v>
      </c>
      <c r="B239" s="189" t="s">
        <v>649</v>
      </c>
      <c r="C239" s="17" t="s">
        <v>334</v>
      </c>
      <c r="D239" s="20" t="s">
        <v>570</v>
      </c>
      <c r="E239" s="16">
        <f t="shared" si="32"/>
        <v>138000</v>
      </c>
      <c r="F239" s="22">
        <v>120000</v>
      </c>
      <c r="G239" s="22">
        <f t="shared" si="34"/>
        <v>18000</v>
      </c>
      <c r="H239" s="44">
        <f t="shared" si="30"/>
        <v>2400</v>
      </c>
      <c r="I239" s="44">
        <f t="shared" si="31"/>
        <v>135600</v>
      </c>
    </row>
    <row r="240" spans="1:9" x14ac:dyDescent="0.2">
      <c r="A240" s="15" t="s">
        <v>656</v>
      </c>
      <c r="B240" s="189" t="s">
        <v>649</v>
      </c>
      <c r="C240" s="17" t="s">
        <v>334</v>
      </c>
      <c r="D240" s="20" t="s">
        <v>571</v>
      </c>
      <c r="E240" s="16">
        <f t="shared" si="32"/>
        <v>7187.5</v>
      </c>
      <c r="F240" s="22">
        <v>6250</v>
      </c>
      <c r="G240" s="22">
        <f t="shared" si="34"/>
        <v>937.5</v>
      </c>
      <c r="H240" s="44">
        <f t="shared" si="30"/>
        <v>125</v>
      </c>
      <c r="I240" s="44">
        <f t="shared" si="31"/>
        <v>7062.5</v>
      </c>
    </row>
    <row r="241" spans="1:9" x14ac:dyDescent="0.2">
      <c r="A241" s="17" t="s">
        <v>667</v>
      </c>
      <c r="B241" s="189" t="s">
        <v>521</v>
      </c>
      <c r="C241" s="17" t="s">
        <v>330</v>
      </c>
      <c r="D241" s="69" t="s">
        <v>666</v>
      </c>
      <c r="E241" s="16">
        <f t="shared" si="32"/>
        <v>265346.40000000002</v>
      </c>
      <c r="F241" s="22">
        <v>230736</v>
      </c>
      <c r="G241" s="16">
        <f t="shared" si="34"/>
        <v>34610.400000000001</v>
      </c>
      <c r="H241" s="44">
        <f t="shared" si="30"/>
        <v>4614.72</v>
      </c>
      <c r="I241" s="44">
        <f t="shared" si="31"/>
        <v>260731.68000000002</v>
      </c>
    </row>
    <row r="242" spans="1:9" x14ac:dyDescent="0.2">
      <c r="A242" s="17" t="s">
        <v>669</v>
      </c>
      <c r="B242" s="189" t="s">
        <v>551</v>
      </c>
      <c r="C242" s="17" t="s">
        <v>12</v>
      </c>
      <c r="D242" s="44" t="s">
        <v>670</v>
      </c>
      <c r="E242" s="16">
        <f t="shared" si="32"/>
        <v>3574.2</v>
      </c>
      <c r="F242" s="44">
        <v>3108</v>
      </c>
      <c r="G242" s="44">
        <f t="shared" si="34"/>
        <v>466.2</v>
      </c>
      <c r="H242" s="44">
        <f t="shared" si="30"/>
        <v>62.160000000000004</v>
      </c>
      <c r="I242" s="44">
        <f t="shared" si="31"/>
        <v>3512.04</v>
      </c>
    </row>
    <row r="243" spans="1:9" x14ac:dyDescent="0.2">
      <c r="A243" s="17" t="s">
        <v>669</v>
      </c>
      <c r="B243" s="189" t="s">
        <v>352</v>
      </c>
      <c r="C243" s="17" t="s">
        <v>9</v>
      </c>
      <c r="D243" s="97" t="s">
        <v>668</v>
      </c>
      <c r="E243" s="16">
        <f t="shared" si="32"/>
        <v>16687.5</v>
      </c>
      <c r="F243" s="98">
        <f>250*66.75</f>
        <v>16687.5</v>
      </c>
      <c r="G243" s="44">
        <v>0</v>
      </c>
      <c r="H243" s="44">
        <f t="shared" si="30"/>
        <v>333.75</v>
      </c>
      <c r="I243" s="44">
        <f t="shared" si="31"/>
        <v>16353.75</v>
      </c>
    </row>
    <row r="244" spans="1:9" x14ac:dyDescent="0.2">
      <c r="A244" s="17" t="s">
        <v>669</v>
      </c>
      <c r="B244" s="189" t="s">
        <v>551</v>
      </c>
      <c r="C244" s="17" t="s">
        <v>676</v>
      </c>
      <c r="D244" s="69" t="s">
        <v>673</v>
      </c>
      <c r="E244" s="16">
        <f t="shared" si="32"/>
        <v>13399.8</v>
      </c>
      <c r="F244" s="22">
        <v>11652</v>
      </c>
      <c r="G244" s="44">
        <f t="shared" ref="G244:G261" si="35">F244*15%</f>
        <v>1747.8</v>
      </c>
      <c r="H244" s="44">
        <f t="shared" si="30"/>
        <v>233.04</v>
      </c>
      <c r="I244" s="44">
        <f t="shared" si="31"/>
        <v>13166.759999999998</v>
      </c>
    </row>
    <row r="245" spans="1:9" x14ac:dyDescent="0.2">
      <c r="A245" s="17" t="s">
        <v>669</v>
      </c>
      <c r="B245" s="189" t="s">
        <v>649</v>
      </c>
      <c r="C245" s="17" t="s">
        <v>676</v>
      </c>
      <c r="D245" s="97" t="s">
        <v>674</v>
      </c>
      <c r="E245" s="16">
        <f t="shared" si="32"/>
        <v>9845.15</v>
      </c>
      <c r="F245" s="22">
        <v>8561</v>
      </c>
      <c r="G245" s="44">
        <f t="shared" si="35"/>
        <v>1284.1499999999999</v>
      </c>
      <c r="H245" s="44">
        <f t="shared" si="30"/>
        <v>171.22</v>
      </c>
      <c r="I245" s="44">
        <f t="shared" si="31"/>
        <v>9673.93</v>
      </c>
    </row>
    <row r="246" spans="1:9" x14ac:dyDescent="0.2">
      <c r="A246" s="17" t="s">
        <v>683</v>
      </c>
      <c r="B246" s="189" t="s">
        <v>649</v>
      </c>
      <c r="C246" s="17" t="s">
        <v>335</v>
      </c>
      <c r="D246" s="86" t="s">
        <v>677</v>
      </c>
      <c r="E246" s="16">
        <f t="shared" si="32"/>
        <v>105147.95</v>
      </c>
      <c r="F246" s="44">
        <v>91433</v>
      </c>
      <c r="G246" s="44">
        <f t="shared" si="35"/>
        <v>13714.949999999999</v>
      </c>
      <c r="H246" s="44">
        <f t="shared" si="30"/>
        <v>1828.66</v>
      </c>
      <c r="I246" s="44">
        <f t="shared" si="31"/>
        <v>103319.29</v>
      </c>
    </row>
    <row r="247" spans="1:9" x14ac:dyDescent="0.2">
      <c r="A247" s="17" t="s">
        <v>683</v>
      </c>
      <c r="B247" s="189" t="s">
        <v>649</v>
      </c>
      <c r="C247" s="17" t="s">
        <v>335</v>
      </c>
      <c r="D247" s="86" t="s">
        <v>679</v>
      </c>
      <c r="E247" s="16">
        <f t="shared" si="32"/>
        <v>128948.35</v>
      </c>
      <c r="F247" s="44">
        <v>112129</v>
      </c>
      <c r="G247" s="44">
        <f t="shared" si="35"/>
        <v>16819.349999999999</v>
      </c>
      <c r="H247" s="44">
        <f t="shared" si="30"/>
        <v>2242.58</v>
      </c>
      <c r="I247" s="44">
        <f t="shared" si="31"/>
        <v>126705.77</v>
      </c>
    </row>
    <row r="248" spans="1:9" x14ac:dyDescent="0.2">
      <c r="A248" s="17" t="s">
        <v>683</v>
      </c>
      <c r="B248" s="189" t="s">
        <v>649</v>
      </c>
      <c r="C248" s="17" t="s">
        <v>335</v>
      </c>
      <c r="D248" s="86" t="s">
        <v>681</v>
      </c>
      <c r="E248" s="16">
        <f t="shared" si="32"/>
        <v>18624.25</v>
      </c>
      <c r="F248" s="44">
        <v>16195</v>
      </c>
      <c r="G248" s="44">
        <f t="shared" si="35"/>
        <v>2429.25</v>
      </c>
      <c r="H248" s="44">
        <f t="shared" si="30"/>
        <v>323.90000000000003</v>
      </c>
      <c r="I248" s="44">
        <f t="shared" si="31"/>
        <v>18300.349999999999</v>
      </c>
    </row>
    <row r="249" spans="1:9" x14ac:dyDescent="0.2">
      <c r="A249" s="17" t="s">
        <v>683</v>
      </c>
      <c r="B249" s="189" t="s">
        <v>649</v>
      </c>
      <c r="C249" s="17" t="s">
        <v>335</v>
      </c>
      <c r="D249" s="86" t="s">
        <v>682</v>
      </c>
      <c r="E249" s="16">
        <f t="shared" si="32"/>
        <v>2443.75</v>
      </c>
      <c r="F249" s="44">
        <v>2125</v>
      </c>
      <c r="G249" s="44">
        <f t="shared" si="35"/>
        <v>318.75</v>
      </c>
      <c r="H249" s="44">
        <f t="shared" si="30"/>
        <v>42.5</v>
      </c>
      <c r="I249" s="44">
        <f t="shared" si="31"/>
        <v>2401.25</v>
      </c>
    </row>
    <row r="250" spans="1:9" x14ac:dyDescent="0.2">
      <c r="A250" s="17" t="s">
        <v>669</v>
      </c>
      <c r="B250" s="189" t="s">
        <v>551</v>
      </c>
      <c r="C250" s="17" t="s">
        <v>337</v>
      </c>
      <c r="D250" s="17" t="s">
        <v>684</v>
      </c>
      <c r="E250" s="16">
        <f t="shared" si="32"/>
        <v>144541.20000000001</v>
      </c>
      <c r="F250" s="44">
        <v>125688</v>
      </c>
      <c r="G250" s="22">
        <f t="shared" si="35"/>
        <v>18853.2</v>
      </c>
      <c r="H250" s="44">
        <f t="shared" si="30"/>
        <v>2513.7600000000002</v>
      </c>
      <c r="I250" s="44">
        <f t="shared" si="31"/>
        <v>142027.44</v>
      </c>
    </row>
    <row r="251" spans="1:9" x14ac:dyDescent="0.2">
      <c r="A251" s="17" t="s">
        <v>669</v>
      </c>
      <c r="B251" s="189" t="s">
        <v>649</v>
      </c>
      <c r="C251" s="17" t="s">
        <v>337</v>
      </c>
      <c r="D251" s="17" t="s">
        <v>686</v>
      </c>
      <c r="E251" s="16">
        <f t="shared" si="32"/>
        <v>202930.15</v>
      </c>
      <c r="F251" s="44">
        <v>176461</v>
      </c>
      <c r="G251" s="22">
        <f t="shared" si="35"/>
        <v>26469.149999999998</v>
      </c>
      <c r="H251" s="44">
        <f t="shared" si="30"/>
        <v>3529.2200000000003</v>
      </c>
      <c r="I251" s="44">
        <f t="shared" si="31"/>
        <v>199400.93</v>
      </c>
    </row>
    <row r="252" spans="1:9" x14ac:dyDescent="0.2">
      <c r="A252" s="17" t="s">
        <v>669</v>
      </c>
      <c r="B252" s="189" t="s">
        <v>521</v>
      </c>
      <c r="C252" s="17" t="s">
        <v>517</v>
      </c>
      <c r="D252" s="69" t="s">
        <v>688</v>
      </c>
      <c r="E252" s="16">
        <f t="shared" si="32"/>
        <v>7417.5</v>
      </c>
      <c r="F252" s="22">
        <v>6450</v>
      </c>
      <c r="G252" s="44">
        <f t="shared" si="35"/>
        <v>967.5</v>
      </c>
      <c r="H252" s="44">
        <f t="shared" si="30"/>
        <v>129</v>
      </c>
      <c r="I252" s="44">
        <f t="shared" si="31"/>
        <v>7288.5</v>
      </c>
    </row>
    <row r="253" spans="1:9" x14ac:dyDescent="0.2">
      <c r="A253" s="17" t="s">
        <v>669</v>
      </c>
      <c r="B253" s="189" t="s">
        <v>649</v>
      </c>
      <c r="C253" s="17" t="s">
        <v>692</v>
      </c>
      <c r="D253" s="86" t="s">
        <v>690</v>
      </c>
      <c r="E253" s="16">
        <f t="shared" si="32"/>
        <v>46381.8</v>
      </c>
      <c r="F253" s="44">
        <v>40332</v>
      </c>
      <c r="G253" s="44">
        <f t="shared" si="35"/>
        <v>6049.8</v>
      </c>
      <c r="H253" s="44">
        <f t="shared" si="30"/>
        <v>806.64</v>
      </c>
      <c r="I253" s="44">
        <f t="shared" si="31"/>
        <v>45575.16</v>
      </c>
    </row>
    <row r="254" spans="1:9" x14ac:dyDescent="0.2">
      <c r="A254" s="15" t="s">
        <v>656</v>
      </c>
      <c r="B254" s="189" t="s">
        <v>521</v>
      </c>
      <c r="C254" s="17" t="s">
        <v>342</v>
      </c>
      <c r="D254" s="44" t="s">
        <v>693</v>
      </c>
      <c r="E254" s="16">
        <f t="shared" si="32"/>
        <v>130169.65</v>
      </c>
      <c r="F254" s="44">
        <v>113191</v>
      </c>
      <c r="G254" s="44">
        <f t="shared" si="35"/>
        <v>16978.649999999998</v>
      </c>
      <c r="H254" s="44">
        <f t="shared" si="30"/>
        <v>2263.8200000000002</v>
      </c>
      <c r="I254" s="44">
        <f t="shared" si="31"/>
        <v>127905.82999999999</v>
      </c>
    </row>
    <row r="255" spans="1:9" x14ac:dyDescent="0.2">
      <c r="A255" s="17" t="s">
        <v>669</v>
      </c>
      <c r="B255" s="189" t="s">
        <v>551</v>
      </c>
      <c r="C255" s="17" t="s">
        <v>341</v>
      </c>
      <c r="D255" s="20" t="s">
        <v>694</v>
      </c>
      <c r="E255" s="16">
        <f t="shared" si="32"/>
        <v>38323.75</v>
      </c>
      <c r="F255" s="22">
        <v>33325</v>
      </c>
      <c r="G255" s="44">
        <f t="shared" si="35"/>
        <v>4998.75</v>
      </c>
      <c r="H255" s="44">
        <f t="shared" si="30"/>
        <v>666.5</v>
      </c>
      <c r="I255" s="44">
        <f t="shared" si="31"/>
        <v>37657.25</v>
      </c>
    </row>
    <row r="256" spans="1:9" x14ac:dyDescent="0.2">
      <c r="A256" s="17" t="s">
        <v>697</v>
      </c>
      <c r="B256" s="189" t="s">
        <v>521</v>
      </c>
      <c r="C256" s="17" t="s">
        <v>698</v>
      </c>
      <c r="D256" s="86" t="s">
        <v>696</v>
      </c>
      <c r="E256" s="16">
        <f t="shared" si="32"/>
        <v>10827.25</v>
      </c>
      <c r="F256" s="44">
        <v>9415</v>
      </c>
      <c r="G256" s="44">
        <f t="shared" si="35"/>
        <v>1412.25</v>
      </c>
      <c r="H256" s="44">
        <f t="shared" si="30"/>
        <v>188.3</v>
      </c>
      <c r="I256" s="44">
        <f t="shared" si="31"/>
        <v>10638.95</v>
      </c>
    </row>
    <row r="257" spans="1:9" x14ac:dyDescent="0.2">
      <c r="A257" s="17" t="s">
        <v>701</v>
      </c>
      <c r="B257" s="189" t="s">
        <v>649</v>
      </c>
      <c r="C257" s="17" t="s">
        <v>702</v>
      </c>
      <c r="D257" s="86" t="s">
        <v>699</v>
      </c>
      <c r="E257" s="16">
        <f t="shared" si="32"/>
        <v>5150.8500000000004</v>
      </c>
      <c r="F257" s="44">
        <v>4479</v>
      </c>
      <c r="G257" s="44">
        <f t="shared" si="35"/>
        <v>671.85</v>
      </c>
      <c r="H257" s="44">
        <f t="shared" si="30"/>
        <v>89.58</v>
      </c>
      <c r="I257" s="44">
        <f t="shared" si="31"/>
        <v>5061.2700000000004</v>
      </c>
    </row>
    <row r="258" spans="1:9" x14ac:dyDescent="0.2">
      <c r="A258" s="15" t="s">
        <v>656</v>
      </c>
      <c r="B258" s="189" t="s">
        <v>649</v>
      </c>
      <c r="C258" s="17" t="s">
        <v>334</v>
      </c>
      <c r="D258" s="20" t="s">
        <v>572</v>
      </c>
      <c r="E258" s="16">
        <f t="shared" ref="E258:E315" si="36">F258+G258</f>
        <v>13334.25</v>
      </c>
      <c r="F258" s="22">
        <v>11595</v>
      </c>
      <c r="G258" s="22">
        <f t="shared" si="35"/>
        <v>1739.25</v>
      </c>
      <c r="H258" s="44">
        <f t="shared" ref="H258:H307" si="37">F258*2%</f>
        <v>231.9</v>
      </c>
      <c r="I258" s="44">
        <f t="shared" ref="I258:I307" si="38">E258-H258</f>
        <v>13102.35</v>
      </c>
    </row>
    <row r="259" spans="1:9" x14ac:dyDescent="0.2">
      <c r="A259" s="15" t="s">
        <v>656</v>
      </c>
      <c r="B259" s="189" t="s">
        <v>649</v>
      </c>
      <c r="C259" s="17" t="s">
        <v>334</v>
      </c>
      <c r="D259" s="20" t="s">
        <v>573</v>
      </c>
      <c r="E259" s="16">
        <f t="shared" si="36"/>
        <v>4560.8999999999996</v>
      </c>
      <c r="F259" s="22">
        <v>3966</v>
      </c>
      <c r="G259" s="22">
        <f t="shared" si="35"/>
        <v>594.9</v>
      </c>
      <c r="H259" s="44">
        <f t="shared" si="37"/>
        <v>79.320000000000007</v>
      </c>
      <c r="I259" s="44">
        <f t="shared" si="38"/>
        <v>4481.58</v>
      </c>
    </row>
    <row r="260" spans="1:9" x14ac:dyDescent="0.2">
      <c r="A260" s="20" t="s">
        <v>697</v>
      </c>
      <c r="B260" s="189" t="s">
        <v>521</v>
      </c>
      <c r="C260" s="17" t="s">
        <v>15</v>
      </c>
      <c r="D260" s="97" t="s">
        <v>707</v>
      </c>
      <c r="E260" s="16">
        <f t="shared" si="36"/>
        <v>146689.4</v>
      </c>
      <c r="F260" s="22">
        <v>127556</v>
      </c>
      <c r="G260" s="44">
        <f t="shared" si="35"/>
        <v>19133.399999999998</v>
      </c>
      <c r="H260" s="44">
        <f t="shared" si="37"/>
        <v>2551.12</v>
      </c>
      <c r="I260" s="44">
        <f t="shared" si="38"/>
        <v>144138.28</v>
      </c>
    </row>
    <row r="261" spans="1:9" x14ac:dyDescent="0.2">
      <c r="A261" s="20" t="s">
        <v>697</v>
      </c>
      <c r="B261" s="189" t="s">
        <v>521</v>
      </c>
      <c r="C261" s="17" t="s">
        <v>709</v>
      </c>
      <c r="D261" s="86" t="s">
        <v>708</v>
      </c>
      <c r="E261" s="16">
        <f t="shared" si="36"/>
        <v>33097</v>
      </c>
      <c r="F261" s="44">
        <v>28780</v>
      </c>
      <c r="G261" s="44">
        <f t="shared" si="35"/>
        <v>4317</v>
      </c>
      <c r="H261" s="44">
        <f t="shared" si="37"/>
        <v>575.6</v>
      </c>
      <c r="I261" s="44">
        <f t="shared" si="38"/>
        <v>32521.4</v>
      </c>
    </row>
    <row r="262" spans="1:9" x14ac:dyDescent="0.2">
      <c r="A262" s="20" t="s">
        <v>711</v>
      </c>
      <c r="B262" s="189" t="s">
        <v>649</v>
      </c>
      <c r="C262" s="17" t="s">
        <v>714</v>
      </c>
      <c r="D262" s="69" t="s">
        <v>712</v>
      </c>
      <c r="E262" s="16">
        <f t="shared" si="36"/>
        <v>417875.5</v>
      </c>
      <c r="F262" s="22">
        <v>363370</v>
      </c>
      <c r="G262" s="44">
        <f>F262*15%</f>
        <v>54505.5</v>
      </c>
      <c r="H262" s="44">
        <f t="shared" si="37"/>
        <v>7267.4000000000005</v>
      </c>
      <c r="I262" s="44">
        <f t="shared" si="38"/>
        <v>410608.1</v>
      </c>
    </row>
    <row r="263" spans="1:9" x14ac:dyDescent="0.2">
      <c r="A263" s="20" t="s">
        <v>711</v>
      </c>
      <c r="B263" s="189" t="s">
        <v>649</v>
      </c>
      <c r="C263" s="17" t="s">
        <v>622</v>
      </c>
      <c r="D263" s="22" t="s">
        <v>715</v>
      </c>
      <c r="E263" s="16">
        <f t="shared" si="36"/>
        <v>12057.75</v>
      </c>
      <c r="F263" s="22">
        <v>10485</v>
      </c>
      <c r="G263" s="44">
        <f t="shared" ref="G263:G322" si="39">F263*15%</f>
        <v>1572.75</v>
      </c>
      <c r="H263" s="44">
        <f t="shared" si="37"/>
        <v>209.70000000000002</v>
      </c>
      <c r="I263" s="44">
        <f t="shared" si="38"/>
        <v>11848.05</v>
      </c>
    </row>
    <row r="264" spans="1:9" x14ac:dyDescent="0.2">
      <c r="A264" s="20" t="s">
        <v>711</v>
      </c>
      <c r="B264" s="189" t="s">
        <v>464</v>
      </c>
      <c r="C264" s="17" t="s">
        <v>324</v>
      </c>
      <c r="D264" s="97" t="s">
        <v>716</v>
      </c>
      <c r="E264" s="16">
        <f t="shared" si="36"/>
        <v>8625</v>
      </c>
      <c r="F264" s="22">
        <v>7500</v>
      </c>
      <c r="G264" s="44">
        <f t="shared" si="39"/>
        <v>1125</v>
      </c>
      <c r="H264" s="44">
        <f t="shared" si="37"/>
        <v>150</v>
      </c>
      <c r="I264" s="44">
        <f t="shared" si="38"/>
        <v>8475</v>
      </c>
    </row>
    <row r="265" spans="1:9" x14ac:dyDescent="0.2">
      <c r="A265" s="20" t="s">
        <v>711</v>
      </c>
      <c r="B265" s="189" t="s">
        <v>521</v>
      </c>
      <c r="C265" s="17" t="s">
        <v>324</v>
      </c>
      <c r="D265" s="97" t="s">
        <v>717</v>
      </c>
      <c r="E265" s="16">
        <f t="shared" si="36"/>
        <v>7130</v>
      </c>
      <c r="F265" s="22">
        <v>6200</v>
      </c>
      <c r="G265" s="44">
        <f t="shared" si="39"/>
        <v>930</v>
      </c>
      <c r="H265" s="44">
        <f t="shared" si="37"/>
        <v>124</v>
      </c>
      <c r="I265" s="44">
        <f t="shared" si="38"/>
        <v>7006</v>
      </c>
    </row>
    <row r="266" spans="1:9" x14ac:dyDescent="0.2">
      <c r="A266" s="20" t="s">
        <v>711</v>
      </c>
      <c r="B266" s="189" t="s">
        <v>551</v>
      </c>
      <c r="C266" s="17" t="s">
        <v>324</v>
      </c>
      <c r="D266" s="97" t="s">
        <v>719</v>
      </c>
      <c r="E266" s="16">
        <f t="shared" si="36"/>
        <v>13225</v>
      </c>
      <c r="F266" s="22">
        <v>11500</v>
      </c>
      <c r="G266" s="44">
        <f t="shared" si="39"/>
        <v>1725</v>
      </c>
      <c r="H266" s="44">
        <f t="shared" si="37"/>
        <v>230</v>
      </c>
      <c r="I266" s="44">
        <f t="shared" si="38"/>
        <v>12995</v>
      </c>
    </row>
    <row r="267" spans="1:9" x14ac:dyDescent="0.2">
      <c r="A267" s="20" t="s">
        <v>725</v>
      </c>
      <c r="B267" s="189" t="s">
        <v>726</v>
      </c>
      <c r="C267" s="17" t="s">
        <v>334</v>
      </c>
      <c r="D267" s="20" t="s">
        <v>574</v>
      </c>
      <c r="E267" s="16">
        <f t="shared" si="36"/>
        <v>26792.7</v>
      </c>
      <c r="F267" s="22">
        <v>23298</v>
      </c>
      <c r="G267" s="22">
        <f t="shared" si="39"/>
        <v>3494.7</v>
      </c>
      <c r="H267" s="44">
        <f t="shared" si="37"/>
        <v>465.96000000000004</v>
      </c>
      <c r="I267" s="44">
        <f t="shared" si="38"/>
        <v>26326.74</v>
      </c>
    </row>
    <row r="268" spans="1:9" x14ac:dyDescent="0.2">
      <c r="A268" s="20" t="s">
        <v>725</v>
      </c>
      <c r="B268" s="189" t="s">
        <v>649</v>
      </c>
      <c r="C268" s="17" t="s">
        <v>16</v>
      </c>
      <c r="D268" s="69" t="s">
        <v>727</v>
      </c>
      <c r="E268" s="16">
        <f t="shared" si="36"/>
        <v>319635.59999999998</v>
      </c>
      <c r="F268" s="22">
        <v>277944</v>
      </c>
      <c r="G268" s="22">
        <f t="shared" si="39"/>
        <v>41691.599999999999</v>
      </c>
      <c r="H268" s="44">
        <f t="shared" si="37"/>
        <v>5558.88</v>
      </c>
      <c r="I268" s="44">
        <f t="shared" si="38"/>
        <v>314076.71999999997</v>
      </c>
    </row>
    <row r="269" spans="1:9" x14ac:dyDescent="0.2">
      <c r="A269" s="20" t="s">
        <v>725</v>
      </c>
      <c r="B269" s="189" t="s">
        <v>649</v>
      </c>
      <c r="C269" s="17" t="s">
        <v>16</v>
      </c>
      <c r="D269" s="69" t="s">
        <v>729</v>
      </c>
      <c r="E269" s="16">
        <f t="shared" si="36"/>
        <v>327750</v>
      </c>
      <c r="F269" s="44">
        <v>285000</v>
      </c>
      <c r="G269" s="44">
        <f t="shared" si="39"/>
        <v>42750</v>
      </c>
      <c r="H269" s="44">
        <f t="shared" si="37"/>
        <v>5700</v>
      </c>
      <c r="I269" s="44">
        <f t="shared" si="38"/>
        <v>322050</v>
      </c>
    </row>
    <row r="270" spans="1:9" x14ac:dyDescent="0.2">
      <c r="A270" s="20" t="s">
        <v>735</v>
      </c>
      <c r="B270" s="189" t="s">
        <v>551</v>
      </c>
      <c r="C270" s="17" t="s">
        <v>16</v>
      </c>
      <c r="D270" s="69" t="s">
        <v>731</v>
      </c>
      <c r="E270" s="16">
        <f t="shared" si="36"/>
        <v>276000</v>
      </c>
      <c r="F270" s="44">
        <v>240000</v>
      </c>
      <c r="G270" s="44">
        <f t="shared" si="39"/>
        <v>36000</v>
      </c>
      <c r="H270" s="44">
        <f t="shared" si="37"/>
        <v>4800</v>
      </c>
      <c r="I270" s="44">
        <f t="shared" si="38"/>
        <v>271200</v>
      </c>
    </row>
    <row r="271" spans="1:9" x14ac:dyDescent="0.2">
      <c r="A271" s="20" t="s">
        <v>735</v>
      </c>
      <c r="B271" s="189" t="s">
        <v>551</v>
      </c>
      <c r="C271" s="17" t="s">
        <v>16</v>
      </c>
      <c r="D271" s="69" t="s">
        <v>733</v>
      </c>
      <c r="E271" s="16">
        <f t="shared" si="36"/>
        <v>65550</v>
      </c>
      <c r="F271" s="44">
        <v>57000</v>
      </c>
      <c r="G271" s="44">
        <f t="shared" si="39"/>
        <v>8550</v>
      </c>
      <c r="H271" s="44">
        <f t="shared" si="37"/>
        <v>1140</v>
      </c>
      <c r="I271" s="44">
        <f t="shared" si="38"/>
        <v>64410</v>
      </c>
    </row>
    <row r="272" spans="1:9" x14ac:dyDescent="0.2">
      <c r="A272" s="20" t="s">
        <v>735</v>
      </c>
      <c r="B272" s="189" t="s">
        <v>726</v>
      </c>
      <c r="C272" s="17" t="s">
        <v>334</v>
      </c>
      <c r="D272" s="20" t="s">
        <v>575</v>
      </c>
      <c r="E272" s="16">
        <f t="shared" si="36"/>
        <v>116189.1</v>
      </c>
      <c r="F272" s="22">
        <v>101034</v>
      </c>
      <c r="G272" s="22">
        <f t="shared" si="39"/>
        <v>15155.099999999999</v>
      </c>
      <c r="H272" s="44">
        <f t="shared" si="37"/>
        <v>2020.68</v>
      </c>
      <c r="I272" s="44">
        <f t="shared" si="38"/>
        <v>114168.42000000001</v>
      </c>
    </row>
    <row r="273" spans="1:9" x14ac:dyDescent="0.2">
      <c r="A273" s="20" t="s">
        <v>735</v>
      </c>
      <c r="B273" s="189" t="s">
        <v>649</v>
      </c>
      <c r="C273" s="17" t="s">
        <v>12</v>
      </c>
      <c r="D273" s="44" t="s">
        <v>737</v>
      </c>
      <c r="E273" s="16">
        <f t="shared" si="36"/>
        <v>51462.5</v>
      </c>
      <c r="F273" s="44">
        <v>44750</v>
      </c>
      <c r="G273" s="44">
        <f t="shared" si="39"/>
        <v>6712.5</v>
      </c>
      <c r="H273" s="44">
        <f t="shared" si="37"/>
        <v>895</v>
      </c>
      <c r="I273" s="44">
        <f t="shared" si="38"/>
        <v>50567.5</v>
      </c>
    </row>
    <row r="274" spans="1:9" x14ac:dyDescent="0.2">
      <c r="A274" s="20" t="s">
        <v>735</v>
      </c>
      <c r="B274" s="189" t="s">
        <v>551</v>
      </c>
      <c r="C274" s="17" t="s">
        <v>698</v>
      </c>
      <c r="D274" s="45" t="s">
        <v>738</v>
      </c>
      <c r="E274" s="16">
        <f t="shared" si="36"/>
        <v>9752</v>
      </c>
      <c r="F274" s="44">
        <v>8480</v>
      </c>
      <c r="G274" s="44">
        <f t="shared" si="39"/>
        <v>1272</v>
      </c>
      <c r="H274" s="44">
        <f t="shared" si="37"/>
        <v>169.6</v>
      </c>
      <c r="I274" s="44">
        <f t="shared" si="38"/>
        <v>9582.4</v>
      </c>
    </row>
    <row r="275" spans="1:9" x14ac:dyDescent="0.2">
      <c r="A275" s="20" t="s">
        <v>735</v>
      </c>
      <c r="B275" s="189" t="s">
        <v>649</v>
      </c>
      <c r="C275" s="17" t="s">
        <v>742</v>
      </c>
      <c r="D275" s="86" t="s">
        <v>740</v>
      </c>
      <c r="E275" s="16">
        <f t="shared" si="36"/>
        <v>10346.549999999999</v>
      </c>
      <c r="F275" s="44">
        <v>8997</v>
      </c>
      <c r="G275" s="44">
        <f t="shared" si="39"/>
        <v>1349.55</v>
      </c>
      <c r="H275" s="44">
        <f t="shared" si="37"/>
        <v>179.94</v>
      </c>
      <c r="I275" s="44">
        <f t="shared" si="38"/>
        <v>10166.609999999999</v>
      </c>
    </row>
    <row r="276" spans="1:9" x14ac:dyDescent="0.2">
      <c r="A276" s="17" t="s">
        <v>751</v>
      </c>
      <c r="B276" s="189" t="s">
        <v>726</v>
      </c>
      <c r="C276" s="17" t="s">
        <v>334</v>
      </c>
      <c r="D276" s="20" t="s">
        <v>576</v>
      </c>
      <c r="E276" s="16">
        <f t="shared" si="36"/>
        <v>27600</v>
      </c>
      <c r="F276" s="22">
        <v>24000</v>
      </c>
      <c r="G276" s="22">
        <f t="shared" si="39"/>
        <v>3600</v>
      </c>
      <c r="H276" s="44">
        <f t="shared" si="37"/>
        <v>480</v>
      </c>
      <c r="I276" s="44">
        <f t="shared" si="38"/>
        <v>27120</v>
      </c>
    </row>
    <row r="277" spans="1:9" x14ac:dyDescent="0.2">
      <c r="A277" s="17" t="s">
        <v>751</v>
      </c>
      <c r="B277" s="189" t="s">
        <v>726</v>
      </c>
      <c r="C277" s="17" t="s">
        <v>334</v>
      </c>
      <c r="D277" s="20" t="s">
        <v>577</v>
      </c>
      <c r="E277" s="16">
        <f t="shared" si="36"/>
        <v>166750</v>
      </c>
      <c r="F277" s="22">
        <v>145000</v>
      </c>
      <c r="G277" s="22">
        <f t="shared" si="39"/>
        <v>21750</v>
      </c>
      <c r="H277" s="44">
        <f t="shared" si="37"/>
        <v>2900</v>
      </c>
      <c r="I277" s="44">
        <f t="shared" si="38"/>
        <v>163850</v>
      </c>
    </row>
    <row r="278" spans="1:9" x14ac:dyDescent="0.2">
      <c r="A278" s="17" t="s">
        <v>751</v>
      </c>
      <c r="B278" s="189" t="s">
        <v>726</v>
      </c>
      <c r="C278" s="17" t="s">
        <v>334</v>
      </c>
      <c r="D278" s="20" t="s">
        <v>578</v>
      </c>
      <c r="E278" s="16">
        <f t="shared" si="36"/>
        <v>546250</v>
      </c>
      <c r="F278" s="22">
        <v>475000</v>
      </c>
      <c r="G278" s="22">
        <f t="shared" si="39"/>
        <v>71250</v>
      </c>
      <c r="H278" s="44">
        <f t="shared" si="37"/>
        <v>9500</v>
      </c>
      <c r="I278" s="44">
        <f t="shared" si="38"/>
        <v>536750</v>
      </c>
    </row>
    <row r="279" spans="1:9" x14ac:dyDescent="0.2">
      <c r="A279" s="17" t="s">
        <v>744</v>
      </c>
      <c r="B279" s="189" t="s">
        <v>551</v>
      </c>
      <c r="C279" s="17" t="s">
        <v>330</v>
      </c>
      <c r="D279" s="69" t="s">
        <v>752</v>
      </c>
      <c r="E279" s="16">
        <f t="shared" si="36"/>
        <v>200509.4</v>
      </c>
      <c r="F279" s="22">
        <v>174356</v>
      </c>
      <c r="G279" s="16">
        <f t="shared" si="39"/>
        <v>26153.399999999998</v>
      </c>
      <c r="H279" s="44">
        <f t="shared" si="37"/>
        <v>3487.12</v>
      </c>
      <c r="I279" s="44">
        <f t="shared" si="38"/>
        <v>197022.28</v>
      </c>
    </row>
    <row r="280" spans="1:9" x14ac:dyDescent="0.2">
      <c r="A280" s="17" t="s">
        <v>756</v>
      </c>
      <c r="B280" s="189" t="s">
        <v>726</v>
      </c>
      <c r="C280" s="17" t="s">
        <v>338</v>
      </c>
      <c r="D280" s="44" t="s">
        <v>754</v>
      </c>
      <c r="E280" s="16">
        <f t="shared" si="36"/>
        <v>8735.4</v>
      </c>
      <c r="F280" s="44">
        <v>7596</v>
      </c>
      <c r="G280" s="22">
        <f t="shared" si="39"/>
        <v>1139.3999999999999</v>
      </c>
      <c r="H280" s="44">
        <f t="shared" si="37"/>
        <v>151.92000000000002</v>
      </c>
      <c r="I280" s="44">
        <f t="shared" si="38"/>
        <v>8583.48</v>
      </c>
    </row>
    <row r="281" spans="1:9" x14ac:dyDescent="0.2">
      <c r="A281" s="17" t="s">
        <v>756</v>
      </c>
      <c r="B281" s="189" t="s">
        <v>726</v>
      </c>
      <c r="C281" s="17" t="s">
        <v>335</v>
      </c>
      <c r="D281" s="86" t="s">
        <v>759</v>
      </c>
      <c r="E281" s="16">
        <f t="shared" si="36"/>
        <v>51750</v>
      </c>
      <c r="F281" s="44">
        <v>45000</v>
      </c>
      <c r="G281" s="44">
        <f t="shared" si="39"/>
        <v>6750</v>
      </c>
      <c r="H281" s="44">
        <f t="shared" si="37"/>
        <v>900</v>
      </c>
      <c r="I281" s="44">
        <f t="shared" si="38"/>
        <v>50850</v>
      </c>
    </row>
    <row r="282" spans="1:9" x14ac:dyDescent="0.2">
      <c r="A282" s="17" t="s">
        <v>756</v>
      </c>
      <c r="B282" s="189" t="s">
        <v>726</v>
      </c>
      <c r="C282" s="17" t="s">
        <v>335</v>
      </c>
      <c r="D282" s="86" t="s">
        <v>757</v>
      </c>
      <c r="E282" s="16">
        <f t="shared" si="36"/>
        <v>25875</v>
      </c>
      <c r="F282" s="44">
        <v>22500</v>
      </c>
      <c r="G282" s="44">
        <f t="shared" si="39"/>
        <v>3375</v>
      </c>
      <c r="H282" s="44">
        <f t="shared" si="37"/>
        <v>450</v>
      </c>
      <c r="I282" s="44">
        <f t="shared" si="38"/>
        <v>25425</v>
      </c>
    </row>
    <row r="283" spans="1:9" x14ac:dyDescent="0.2">
      <c r="A283" s="17" t="s">
        <v>751</v>
      </c>
      <c r="B283" s="189" t="s">
        <v>726</v>
      </c>
      <c r="C283" s="17" t="s">
        <v>334</v>
      </c>
      <c r="D283" s="20" t="s">
        <v>579</v>
      </c>
      <c r="E283" s="16">
        <f t="shared" si="36"/>
        <v>7705</v>
      </c>
      <c r="F283" s="22">
        <v>6700</v>
      </c>
      <c r="G283" s="22">
        <f t="shared" si="39"/>
        <v>1005</v>
      </c>
      <c r="H283" s="44">
        <f t="shared" si="37"/>
        <v>134</v>
      </c>
      <c r="I283" s="44">
        <f t="shared" si="38"/>
        <v>7571</v>
      </c>
    </row>
    <row r="284" spans="1:9" x14ac:dyDescent="0.2">
      <c r="A284" s="17" t="s">
        <v>751</v>
      </c>
      <c r="B284" s="189" t="s">
        <v>726</v>
      </c>
      <c r="C284" s="17" t="s">
        <v>334</v>
      </c>
      <c r="D284" s="20" t="s">
        <v>580</v>
      </c>
      <c r="E284" s="16">
        <f t="shared" si="36"/>
        <v>57500</v>
      </c>
      <c r="F284" s="22">
        <v>50000</v>
      </c>
      <c r="G284" s="22">
        <f t="shared" si="39"/>
        <v>7500</v>
      </c>
      <c r="H284" s="44">
        <f t="shared" si="37"/>
        <v>1000</v>
      </c>
      <c r="I284" s="44">
        <f t="shared" si="38"/>
        <v>56500</v>
      </c>
    </row>
    <row r="285" spans="1:9" x14ac:dyDescent="0.2">
      <c r="A285" s="17" t="s">
        <v>767</v>
      </c>
      <c r="B285" s="189" t="s">
        <v>551</v>
      </c>
      <c r="C285" s="17" t="s">
        <v>709</v>
      </c>
      <c r="D285" s="45" t="s">
        <v>766</v>
      </c>
      <c r="E285" s="16">
        <f t="shared" si="36"/>
        <v>9246</v>
      </c>
      <c r="F285" s="44">
        <v>8040</v>
      </c>
      <c r="G285" s="44">
        <f t="shared" si="39"/>
        <v>1206</v>
      </c>
      <c r="H285" s="44">
        <f t="shared" si="37"/>
        <v>160.80000000000001</v>
      </c>
      <c r="I285" s="44">
        <f t="shared" si="38"/>
        <v>9085.2000000000007</v>
      </c>
    </row>
    <row r="286" spans="1:9" x14ac:dyDescent="0.2">
      <c r="A286" s="17" t="s">
        <v>767</v>
      </c>
      <c r="B286" s="189" t="s">
        <v>551</v>
      </c>
      <c r="C286" s="17" t="s">
        <v>15</v>
      </c>
      <c r="D286" s="97" t="s">
        <v>768</v>
      </c>
      <c r="E286" s="16">
        <f t="shared" si="36"/>
        <v>275379</v>
      </c>
      <c r="F286" s="22">
        <v>239460</v>
      </c>
      <c r="G286" s="22">
        <f t="shared" si="39"/>
        <v>35919</v>
      </c>
      <c r="H286" s="44">
        <f t="shared" si="37"/>
        <v>4789.2</v>
      </c>
      <c r="I286" s="44">
        <f t="shared" si="38"/>
        <v>270589.8</v>
      </c>
    </row>
    <row r="287" spans="1:9" x14ac:dyDescent="0.2">
      <c r="A287" s="17" t="s">
        <v>767</v>
      </c>
      <c r="B287" s="189" t="s">
        <v>551</v>
      </c>
      <c r="C287" s="17" t="s">
        <v>692</v>
      </c>
      <c r="D287" s="45" t="s">
        <v>770</v>
      </c>
      <c r="E287" s="16">
        <f t="shared" si="36"/>
        <v>2863.5</v>
      </c>
      <c r="F287" s="44">
        <v>2490</v>
      </c>
      <c r="G287" s="44">
        <f t="shared" si="39"/>
        <v>373.5</v>
      </c>
      <c r="H287" s="44">
        <f t="shared" si="37"/>
        <v>49.800000000000004</v>
      </c>
      <c r="I287" s="44">
        <f t="shared" si="38"/>
        <v>2813.7</v>
      </c>
    </row>
    <row r="288" spans="1:9" x14ac:dyDescent="0.2">
      <c r="A288" s="17" t="s">
        <v>767</v>
      </c>
      <c r="B288" s="189" t="s">
        <v>649</v>
      </c>
      <c r="C288" s="17" t="s">
        <v>692</v>
      </c>
      <c r="D288" s="97" t="s">
        <v>771</v>
      </c>
      <c r="E288" s="16">
        <f t="shared" si="36"/>
        <v>1196</v>
      </c>
      <c r="F288" s="44">
        <v>1040</v>
      </c>
      <c r="G288" s="44">
        <f t="shared" si="39"/>
        <v>156</v>
      </c>
      <c r="H288" s="44">
        <f t="shared" si="37"/>
        <v>20.8</v>
      </c>
      <c r="I288" s="44">
        <f t="shared" si="38"/>
        <v>1175.2</v>
      </c>
    </row>
    <row r="289" spans="1:9" x14ac:dyDescent="0.2">
      <c r="A289" s="17" t="s">
        <v>751</v>
      </c>
      <c r="B289" s="189" t="s">
        <v>726</v>
      </c>
      <c r="C289" s="17" t="s">
        <v>334</v>
      </c>
      <c r="D289" s="20" t="s">
        <v>760</v>
      </c>
      <c r="E289" s="16">
        <f t="shared" si="36"/>
        <v>38415.75</v>
      </c>
      <c r="F289" s="22">
        <v>33405</v>
      </c>
      <c r="G289" s="22">
        <f t="shared" si="39"/>
        <v>5010.75</v>
      </c>
      <c r="H289" s="44">
        <f t="shared" si="37"/>
        <v>668.1</v>
      </c>
      <c r="I289" s="44">
        <f t="shared" si="38"/>
        <v>37747.65</v>
      </c>
    </row>
    <row r="290" spans="1:9" x14ac:dyDescent="0.2">
      <c r="A290" s="17" t="s">
        <v>767</v>
      </c>
      <c r="B290" s="189" t="s">
        <v>551</v>
      </c>
      <c r="C290" s="17" t="s">
        <v>339</v>
      </c>
      <c r="D290" s="69" t="s">
        <v>774</v>
      </c>
      <c r="E290" s="16">
        <f t="shared" si="36"/>
        <v>5423.4</v>
      </c>
      <c r="F290" s="22">
        <v>4716</v>
      </c>
      <c r="G290" s="44">
        <f t="shared" si="39"/>
        <v>707.4</v>
      </c>
      <c r="H290" s="44">
        <f t="shared" si="37"/>
        <v>94.320000000000007</v>
      </c>
      <c r="I290" s="44">
        <f t="shared" si="38"/>
        <v>5329.08</v>
      </c>
    </row>
    <row r="291" spans="1:9" x14ac:dyDescent="0.2">
      <c r="A291" s="17" t="s">
        <v>767</v>
      </c>
      <c r="B291" s="189" t="s">
        <v>649</v>
      </c>
      <c r="C291" s="17" t="s">
        <v>339</v>
      </c>
      <c r="D291" s="69" t="s">
        <v>775</v>
      </c>
      <c r="E291" s="16">
        <f t="shared" si="36"/>
        <v>10074</v>
      </c>
      <c r="F291" s="22">
        <v>8760</v>
      </c>
      <c r="G291" s="44">
        <f t="shared" si="39"/>
        <v>1314</v>
      </c>
      <c r="H291" s="44">
        <f t="shared" si="37"/>
        <v>175.20000000000002</v>
      </c>
      <c r="I291" s="44">
        <f t="shared" si="38"/>
        <v>9898.7999999999993</v>
      </c>
    </row>
    <row r="292" spans="1:9" x14ac:dyDescent="0.2">
      <c r="A292" s="17" t="s">
        <v>776</v>
      </c>
      <c r="B292" s="189" t="s">
        <v>551</v>
      </c>
      <c r="C292" s="17" t="s">
        <v>780</v>
      </c>
      <c r="D292" s="86" t="s">
        <v>779</v>
      </c>
      <c r="E292" s="16">
        <f t="shared" si="36"/>
        <v>30834.95</v>
      </c>
      <c r="F292" s="44">
        <v>26813</v>
      </c>
      <c r="G292" s="44">
        <f t="shared" si="39"/>
        <v>4021.95</v>
      </c>
      <c r="H292" s="44">
        <f t="shared" ref="H292:H305" si="40">F292*2%</f>
        <v>536.26</v>
      </c>
      <c r="I292" s="44">
        <f t="shared" ref="I292:I305" si="41">E292-H292</f>
        <v>30298.690000000002</v>
      </c>
    </row>
    <row r="293" spans="1:9" x14ac:dyDescent="0.2">
      <c r="A293" s="17" t="s">
        <v>834</v>
      </c>
      <c r="B293" s="189" t="s">
        <v>835</v>
      </c>
      <c r="C293" s="17" t="s">
        <v>334</v>
      </c>
      <c r="D293" s="17" t="s">
        <v>761</v>
      </c>
      <c r="E293" s="16">
        <f t="shared" si="36"/>
        <v>9826.75</v>
      </c>
      <c r="F293" s="44">
        <v>8545</v>
      </c>
      <c r="G293" s="44">
        <f t="shared" si="39"/>
        <v>1281.75</v>
      </c>
      <c r="H293" s="44">
        <f t="shared" si="40"/>
        <v>170.9</v>
      </c>
      <c r="I293" s="44">
        <f t="shared" si="41"/>
        <v>9655.85</v>
      </c>
    </row>
    <row r="294" spans="1:9" x14ac:dyDescent="0.2">
      <c r="A294" s="17" t="s">
        <v>834</v>
      </c>
      <c r="B294" s="189" t="s">
        <v>835</v>
      </c>
      <c r="C294" s="17" t="s">
        <v>334</v>
      </c>
      <c r="D294" s="17" t="s">
        <v>762</v>
      </c>
      <c r="E294" s="16">
        <f t="shared" si="36"/>
        <v>182850</v>
      </c>
      <c r="F294" s="44">
        <v>159000</v>
      </c>
      <c r="G294" s="44">
        <f t="shared" si="39"/>
        <v>23850</v>
      </c>
      <c r="H294" s="44">
        <f t="shared" si="40"/>
        <v>3180</v>
      </c>
      <c r="I294" s="44">
        <f t="shared" si="41"/>
        <v>179670</v>
      </c>
    </row>
    <row r="295" spans="1:9" x14ac:dyDescent="0.2">
      <c r="A295" s="17" t="s">
        <v>834</v>
      </c>
      <c r="B295" s="189" t="s">
        <v>835</v>
      </c>
      <c r="C295" s="17" t="s">
        <v>334</v>
      </c>
      <c r="D295" s="17" t="s">
        <v>763</v>
      </c>
      <c r="E295" s="16">
        <f t="shared" si="36"/>
        <v>289800</v>
      </c>
      <c r="F295" s="44">
        <v>252000</v>
      </c>
      <c r="G295" s="44">
        <f t="shared" si="39"/>
        <v>37800</v>
      </c>
      <c r="H295" s="44">
        <f t="shared" si="40"/>
        <v>5040</v>
      </c>
      <c r="I295" s="44">
        <f t="shared" si="41"/>
        <v>284760</v>
      </c>
    </row>
    <row r="296" spans="1:9" x14ac:dyDescent="0.2">
      <c r="A296" s="17" t="s">
        <v>834</v>
      </c>
      <c r="B296" s="189" t="s">
        <v>835</v>
      </c>
      <c r="C296" s="17" t="s">
        <v>334</v>
      </c>
      <c r="D296" s="17" t="s">
        <v>764</v>
      </c>
      <c r="E296" s="16">
        <f t="shared" si="36"/>
        <v>129375</v>
      </c>
      <c r="F296" s="44">
        <v>112500</v>
      </c>
      <c r="G296" s="44">
        <f t="shared" si="39"/>
        <v>16875</v>
      </c>
      <c r="H296" s="44">
        <f t="shared" si="40"/>
        <v>2250</v>
      </c>
      <c r="I296" s="44">
        <f t="shared" si="41"/>
        <v>127125</v>
      </c>
    </row>
    <row r="297" spans="1:9" x14ac:dyDescent="0.2">
      <c r="A297" s="17" t="s">
        <v>834</v>
      </c>
      <c r="B297" s="189" t="s">
        <v>835</v>
      </c>
      <c r="C297" s="17" t="s">
        <v>334</v>
      </c>
      <c r="D297" s="17" t="s">
        <v>783</v>
      </c>
      <c r="E297" s="16">
        <f t="shared" si="36"/>
        <v>57500</v>
      </c>
      <c r="F297" s="44">
        <v>50000</v>
      </c>
      <c r="G297" s="44">
        <f t="shared" si="39"/>
        <v>7500</v>
      </c>
      <c r="H297" s="44">
        <f t="shared" si="40"/>
        <v>1000</v>
      </c>
      <c r="I297" s="44">
        <f t="shared" si="41"/>
        <v>56500</v>
      </c>
    </row>
    <row r="298" spans="1:9" x14ac:dyDescent="0.2">
      <c r="A298" s="17" t="s">
        <v>834</v>
      </c>
      <c r="B298" s="189" t="s">
        <v>835</v>
      </c>
      <c r="C298" s="17" t="s">
        <v>334</v>
      </c>
      <c r="D298" s="17" t="s">
        <v>784</v>
      </c>
      <c r="E298" s="16">
        <f t="shared" si="36"/>
        <v>107525</v>
      </c>
      <c r="F298" s="44">
        <v>93500</v>
      </c>
      <c r="G298" s="44">
        <f t="shared" si="39"/>
        <v>14025</v>
      </c>
      <c r="H298" s="44">
        <f t="shared" si="40"/>
        <v>1870</v>
      </c>
      <c r="I298" s="44">
        <f t="shared" si="41"/>
        <v>105655</v>
      </c>
    </row>
    <row r="299" spans="1:9" x14ac:dyDescent="0.2">
      <c r="A299" s="17" t="s">
        <v>834</v>
      </c>
      <c r="B299" s="189" t="s">
        <v>835</v>
      </c>
      <c r="C299" s="17" t="s">
        <v>334</v>
      </c>
      <c r="D299" s="17" t="s">
        <v>785</v>
      </c>
      <c r="E299" s="16">
        <f t="shared" si="36"/>
        <v>6886.2</v>
      </c>
      <c r="F299" s="44">
        <v>5988</v>
      </c>
      <c r="G299" s="44">
        <f t="shared" si="39"/>
        <v>898.19999999999993</v>
      </c>
      <c r="H299" s="44">
        <f t="shared" si="40"/>
        <v>119.76</v>
      </c>
      <c r="I299" s="44">
        <f t="shared" si="41"/>
        <v>6766.44</v>
      </c>
    </row>
    <row r="300" spans="1:9" x14ac:dyDescent="0.2">
      <c r="A300" s="17" t="s">
        <v>834</v>
      </c>
      <c r="B300" s="189" t="s">
        <v>835</v>
      </c>
      <c r="C300" s="17" t="s">
        <v>334</v>
      </c>
      <c r="D300" s="17" t="s">
        <v>786</v>
      </c>
      <c r="E300" s="16">
        <f t="shared" si="36"/>
        <v>359720</v>
      </c>
      <c r="F300" s="44">
        <v>312800</v>
      </c>
      <c r="G300" s="44">
        <f t="shared" si="39"/>
        <v>46920</v>
      </c>
      <c r="H300" s="44">
        <f t="shared" si="40"/>
        <v>6256</v>
      </c>
      <c r="I300" s="44">
        <f t="shared" si="41"/>
        <v>353464</v>
      </c>
    </row>
    <row r="301" spans="1:9" x14ac:dyDescent="0.2">
      <c r="A301" s="17" t="s">
        <v>834</v>
      </c>
      <c r="B301" s="189" t="s">
        <v>835</v>
      </c>
      <c r="C301" s="17" t="s">
        <v>334</v>
      </c>
      <c r="D301" s="17" t="s">
        <v>787</v>
      </c>
      <c r="E301" s="16">
        <f t="shared" si="36"/>
        <v>8838.9</v>
      </c>
      <c r="F301" s="44">
        <v>7686</v>
      </c>
      <c r="G301" s="44">
        <f t="shared" si="39"/>
        <v>1152.8999999999999</v>
      </c>
      <c r="H301" s="44">
        <f t="shared" si="40"/>
        <v>153.72</v>
      </c>
      <c r="I301" s="44">
        <f t="shared" si="41"/>
        <v>8685.18</v>
      </c>
    </row>
    <row r="302" spans="1:9" x14ac:dyDescent="0.2">
      <c r="A302" s="17" t="s">
        <v>834</v>
      </c>
      <c r="B302" s="189" t="s">
        <v>835</v>
      </c>
      <c r="C302" s="17" t="s">
        <v>334</v>
      </c>
      <c r="D302" s="17" t="s">
        <v>788</v>
      </c>
      <c r="E302" s="16">
        <f t="shared" si="36"/>
        <v>17250</v>
      </c>
      <c r="F302" s="44">
        <v>15000</v>
      </c>
      <c r="G302" s="44">
        <f t="shared" si="39"/>
        <v>2250</v>
      </c>
      <c r="H302" s="44">
        <f t="shared" si="40"/>
        <v>300</v>
      </c>
      <c r="I302" s="44">
        <f t="shared" si="41"/>
        <v>16950</v>
      </c>
    </row>
    <row r="303" spans="1:9" x14ac:dyDescent="0.2">
      <c r="A303" s="17" t="s">
        <v>834</v>
      </c>
      <c r="B303" s="189" t="s">
        <v>835</v>
      </c>
      <c r="C303" s="17" t="s">
        <v>334</v>
      </c>
      <c r="D303" s="17" t="s">
        <v>789</v>
      </c>
      <c r="E303" s="16">
        <f t="shared" si="36"/>
        <v>17250</v>
      </c>
      <c r="F303" s="44">
        <v>15000</v>
      </c>
      <c r="G303" s="44">
        <f t="shared" si="39"/>
        <v>2250</v>
      </c>
      <c r="H303" s="44">
        <f t="shared" si="40"/>
        <v>300</v>
      </c>
      <c r="I303" s="44">
        <f t="shared" si="41"/>
        <v>16950</v>
      </c>
    </row>
    <row r="304" spans="1:9" x14ac:dyDescent="0.2">
      <c r="A304" s="17" t="s">
        <v>834</v>
      </c>
      <c r="B304" s="189" t="s">
        <v>835</v>
      </c>
      <c r="C304" s="17" t="s">
        <v>334</v>
      </c>
      <c r="D304" s="17" t="s">
        <v>790</v>
      </c>
      <c r="E304" s="16">
        <f t="shared" si="36"/>
        <v>17250</v>
      </c>
      <c r="F304" s="44">
        <v>15000</v>
      </c>
      <c r="G304" s="44">
        <f t="shared" si="39"/>
        <v>2250</v>
      </c>
      <c r="H304" s="44">
        <f t="shared" si="40"/>
        <v>300</v>
      </c>
      <c r="I304" s="44">
        <f t="shared" si="41"/>
        <v>16950</v>
      </c>
    </row>
    <row r="305" spans="1:9" x14ac:dyDescent="0.2">
      <c r="A305" s="17" t="s">
        <v>834</v>
      </c>
      <c r="B305" s="189" t="s">
        <v>835</v>
      </c>
      <c r="C305" s="17" t="s">
        <v>334</v>
      </c>
      <c r="D305" s="17" t="s">
        <v>791</v>
      </c>
      <c r="E305" s="16">
        <f t="shared" si="36"/>
        <v>10350</v>
      </c>
      <c r="F305" s="44">
        <v>9000</v>
      </c>
      <c r="G305" s="44">
        <f t="shared" si="39"/>
        <v>1350</v>
      </c>
      <c r="H305" s="44">
        <f t="shared" si="40"/>
        <v>180</v>
      </c>
      <c r="I305" s="44">
        <f t="shared" si="41"/>
        <v>10170</v>
      </c>
    </row>
    <row r="306" spans="1:9" x14ac:dyDescent="0.2">
      <c r="A306" s="17" t="s">
        <v>834</v>
      </c>
      <c r="B306" s="189" t="s">
        <v>835</v>
      </c>
      <c r="C306" s="17" t="s">
        <v>334</v>
      </c>
      <c r="D306" s="17" t="s">
        <v>792</v>
      </c>
      <c r="E306" s="16">
        <f t="shared" si="36"/>
        <v>479938.7</v>
      </c>
      <c r="F306" s="44">
        <v>417338</v>
      </c>
      <c r="G306" s="44">
        <f t="shared" si="39"/>
        <v>62600.7</v>
      </c>
      <c r="H306" s="44">
        <f t="shared" si="37"/>
        <v>8346.76</v>
      </c>
      <c r="I306" s="44">
        <f t="shared" si="38"/>
        <v>471591.94</v>
      </c>
    </row>
    <row r="307" spans="1:9" x14ac:dyDescent="0.2">
      <c r="A307" s="17" t="s">
        <v>834</v>
      </c>
      <c r="B307" s="189" t="s">
        <v>835</v>
      </c>
      <c r="C307" s="17" t="s">
        <v>334</v>
      </c>
      <c r="D307" s="17" t="s">
        <v>793</v>
      </c>
      <c r="E307" s="16">
        <f t="shared" si="36"/>
        <v>591419.69999999995</v>
      </c>
      <c r="F307" s="44">
        <v>514278</v>
      </c>
      <c r="G307" s="44">
        <f t="shared" si="39"/>
        <v>77141.7</v>
      </c>
      <c r="H307" s="44">
        <f t="shared" si="37"/>
        <v>10285.56</v>
      </c>
      <c r="I307" s="44">
        <f t="shared" si="38"/>
        <v>581134.1399999999</v>
      </c>
    </row>
    <row r="308" spans="1:9" x14ac:dyDescent="0.2">
      <c r="A308" s="17" t="s">
        <v>834</v>
      </c>
      <c r="B308" s="189" t="s">
        <v>835</v>
      </c>
      <c r="C308" s="17" t="s">
        <v>334</v>
      </c>
      <c r="D308" s="17" t="s">
        <v>794</v>
      </c>
      <c r="E308" s="16">
        <f t="shared" si="36"/>
        <v>134550</v>
      </c>
      <c r="F308" s="44">
        <v>117000</v>
      </c>
      <c r="G308" s="44">
        <f t="shared" si="39"/>
        <v>17550</v>
      </c>
      <c r="H308" s="44">
        <f t="shared" ref="H308:H311" si="42">F308*2%</f>
        <v>2340</v>
      </c>
      <c r="I308" s="44">
        <f t="shared" ref="I308:I311" si="43">E308-H308</f>
        <v>132210</v>
      </c>
    </row>
    <row r="309" spans="1:9" x14ac:dyDescent="0.2">
      <c r="A309" s="17" t="s">
        <v>834</v>
      </c>
      <c r="B309" s="189" t="s">
        <v>835</v>
      </c>
      <c r="C309" s="17" t="s">
        <v>334</v>
      </c>
      <c r="D309" s="17" t="s">
        <v>795</v>
      </c>
      <c r="E309" s="16">
        <f t="shared" si="36"/>
        <v>201250</v>
      </c>
      <c r="F309" s="44">
        <v>175000</v>
      </c>
      <c r="G309" s="44">
        <f t="shared" si="39"/>
        <v>26250</v>
      </c>
      <c r="H309" s="44">
        <f t="shared" si="42"/>
        <v>3500</v>
      </c>
      <c r="I309" s="44">
        <f t="shared" si="43"/>
        <v>197750</v>
      </c>
    </row>
    <row r="310" spans="1:9" x14ac:dyDescent="0.2">
      <c r="A310" s="17" t="s">
        <v>834</v>
      </c>
      <c r="B310" s="189" t="s">
        <v>835</v>
      </c>
      <c r="C310" s="17" t="s">
        <v>334</v>
      </c>
      <c r="D310" s="17" t="s">
        <v>796</v>
      </c>
      <c r="E310" s="16">
        <f t="shared" si="36"/>
        <v>201250</v>
      </c>
      <c r="F310" s="44">
        <v>175000</v>
      </c>
      <c r="G310" s="44">
        <f t="shared" si="39"/>
        <v>26250</v>
      </c>
      <c r="H310" s="44">
        <f t="shared" si="42"/>
        <v>3500</v>
      </c>
      <c r="I310" s="44">
        <f t="shared" si="43"/>
        <v>197750</v>
      </c>
    </row>
    <row r="311" spans="1:9" x14ac:dyDescent="0.2">
      <c r="A311" s="17" t="s">
        <v>834</v>
      </c>
      <c r="B311" s="189" t="s">
        <v>835</v>
      </c>
      <c r="C311" s="17" t="s">
        <v>334</v>
      </c>
      <c r="D311" s="17" t="s">
        <v>797</v>
      </c>
      <c r="E311" s="16">
        <f t="shared" si="36"/>
        <v>201250</v>
      </c>
      <c r="F311" s="44">
        <v>175000</v>
      </c>
      <c r="G311" s="44">
        <f t="shared" si="39"/>
        <v>26250</v>
      </c>
      <c r="H311" s="44">
        <f t="shared" si="42"/>
        <v>3500</v>
      </c>
      <c r="I311" s="44">
        <f t="shared" si="43"/>
        <v>197750</v>
      </c>
    </row>
    <row r="312" spans="1:9" x14ac:dyDescent="0.2">
      <c r="A312" s="17" t="s">
        <v>834</v>
      </c>
      <c r="B312" s="189" t="s">
        <v>835</v>
      </c>
      <c r="C312" s="17" t="s">
        <v>334</v>
      </c>
      <c r="D312" s="17" t="s">
        <v>798</v>
      </c>
      <c r="E312" s="16">
        <f t="shared" si="36"/>
        <v>69000</v>
      </c>
      <c r="F312" s="44">
        <v>60000</v>
      </c>
      <c r="G312" s="44">
        <f t="shared" si="39"/>
        <v>9000</v>
      </c>
      <c r="H312" s="44">
        <f t="shared" ref="H312:H313" si="44">F312*2%</f>
        <v>1200</v>
      </c>
      <c r="I312" s="44">
        <f t="shared" ref="I312:I313" si="45">E312-H312</f>
        <v>67800</v>
      </c>
    </row>
    <row r="313" spans="1:9" x14ac:dyDescent="0.2">
      <c r="A313" s="17" t="s">
        <v>836</v>
      </c>
      <c r="B313" s="189" t="s">
        <v>835</v>
      </c>
      <c r="C313" s="17" t="s">
        <v>838</v>
      </c>
      <c r="D313" s="86" t="s">
        <v>837</v>
      </c>
      <c r="E313" s="16">
        <f t="shared" si="36"/>
        <v>9994.65</v>
      </c>
      <c r="F313" s="44">
        <v>8691</v>
      </c>
      <c r="G313" s="44">
        <f t="shared" si="39"/>
        <v>1303.6499999999999</v>
      </c>
      <c r="H313" s="44">
        <f t="shared" si="44"/>
        <v>173.82</v>
      </c>
      <c r="I313" s="44">
        <f t="shared" si="45"/>
        <v>9820.83</v>
      </c>
    </row>
    <row r="314" spans="1:9" x14ac:dyDescent="0.2">
      <c r="A314" s="45" t="s">
        <v>857</v>
      </c>
      <c r="B314" s="189" t="s">
        <v>551</v>
      </c>
      <c r="C314" s="17" t="s">
        <v>343</v>
      </c>
      <c r="D314" s="97" t="s">
        <v>855</v>
      </c>
      <c r="E314" s="98">
        <f t="shared" si="36"/>
        <v>3047.5</v>
      </c>
      <c r="F314" s="98">
        <v>2650</v>
      </c>
      <c r="G314" s="44">
        <f t="shared" si="39"/>
        <v>397.5</v>
      </c>
      <c r="H314" s="44">
        <f t="shared" ref="H314:H315" si="46">F314*2%</f>
        <v>53</v>
      </c>
      <c r="I314" s="44">
        <f t="shared" ref="I314:I315" si="47">E314-H314</f>
        <v>2994.5</v>
      </c>
    </row>
    <row r="315" spans="1:9" x14ac:dyDescent="0.2">
      <c r="A315" s="45" t="s">
        <v>857</v>
      </c>
      <c r="B315" s="189" t="s">
        <v>649</v>
      </c>
      <c r="C315" s="17" t="s">
        <v>343</v>
      </c>
      <c r="D315" s="97" t="s">
        <v>856</v>
      </c>
      <c r="E315" s="98">
        <f t="shared" si="36"/>
        <v>5014</v>
      </c>
      <c r="F315" s="98">
        <v>4360</v>
      </c>
      <c r="G315" s="44">
        <f t="shared" si="39"/>
        <v>654</v>
      </c>
      <c r="H315" s="44">
        <f t="shared" si="46"/>
        <v>87.2</v>
      </c>
      <c r="I315" s="44">
        <f t="shared" si="47"/>
        <v>4926.8</v>
      </c>
    </row>
    <row r="316" spans="1:9" x14ac:dyDescent="0.2">
      <c r="B316" s="201" t="s">
        <v>352</v>
      </c>
      <c r="C316" s="187" t="s">
        <v>3</v>
      </c>
      <c r="D316" s="16" t="s">
        <v>558</v>
      </c>
      <c r="E316" s="16">
        <f t="shared" ref="E316:E322" si="48">F316+G316</f>
        <v>207984.4</v>
      </c>
      <c r="F316" s="16">
        <v>180856</v>
      </c>
      <c r="G316" s="16">
        <f t="shared" si="39"/>
        <v>27128.399999999998</v>
      </c>
      <c r="H316" s="44">
        <f t="shared" ref="H316:H322" si="49">F316*2%</f>
        <v>3617.12</v>
      </c>
      <c r="I316" s="44">
        <f t="shared" ref="I316:I322" si="50">E316-H316</f>
        <v>204367.28</v>
      </c>
    </row>
    <row r="317" spans="1:9" x14ac:dyDescent="0.2">
      <c r="B317" s="201" t="s">
        <v>358</v>
      </c>
      <c r="C317" s="187" t="s">
        <v>3</v>
      </c>
      <c r="D317" s="16" t="s">
        <v>840</v>
      </c>
      <c r="E317" s="16">
        <f t="shared" si="48"/>
        <v>7863.7</v>
      </c>
      <c r="F317" s="16">
        <v>6838</v>
      </c>
      <c r="G317" s="16">
        <f t="shared" si="39"/>
        <v>1025.7</v>
      </c>
      <c r="H317" s="44">
        <f t="shared" si="49"/>
        <v>136.76</v>
      </c>
      <c r="I317" s="44">
        <f t="shared" si="50"/>
        <v>7726.94</v>
      </c>
    </row>
    <row r="318" spans="1:9" x14ac:dyDescent="0.2">
      <c r="B318" s="201" t="s">
        <v>404</v>
      </c>
      <c r="C318" s="187" t="s">
        <v>3</v>
      </c>
      <c r="D318" s="32" t="s">
        <v>842</v>
      </c>
      <c r="E318" s="16">
        <f t="shared" si="48"/>
        <v>19057.8</v>
      </c>
      <c r="F318" s="16">
        <v>16572</v>
      </c>
      <c r="G318" s="16">
        <f t="shared" si="39"/>
        <v>2485.7999999999997</v>
      </c>
      <c r="H318" s="44">
        <f t="shared" si="49"/>
        <v>331.44</v>
      </c>
      <c r="I318" s="44">
        <f t="shared" si="50"/>
        <v>18726.36</v>
      </c>
    </row>
    <row r="319" spans="1:9" x14ac:dyDescent="0.2">
      <c r="B319" s="201" t="s">
        <v>464</v>
      </c>
      <c r="C319" s="187" t="s">
        <v>3</v>
      </c>
      <c r="D319" s="16" t="s">
        <v>843</v>
      </c>
      <c r="E319" s="16">
        <f t="shared" si="48"/>
        <v>71726.649999999994</v>
      </c>
      <c r="F319" s="16">
        <v>62371</v>
      </c>
      <c r="G319" s="16">
        <f t="shared" si="39"/>
        <v>9355.65</v>
      </c>
      <c r="H319" s="44">
        <f t="shared" si="49"/>
        <v>1247.42</v>
      </c>
      <c r="I319" s="44">
        <f t="shared" si="50"/>
        <v>70479.23</v>
      </c>
    </row>
    <row r="320" spans="1:9" x14ac:dyDescent="0.2">
      <c r="B320" s="201" t="s">
        <v>521</v>
      </c>
      <c r="C320" s="187" t="s">
        <v>3</v>
      </c>
      <c r="D320" s="16" t="s">
        <v>844</v>
      </c>
      <c r="E320" s="16">
        <f t="shared" si="48"/>
        <v>16181.65</v>
      </c>
      <c r="F320" s="16">
        <v>14071</v>
      </c>
      <c r="G320" s="16">
        <f t="shared" si="39"/>
        <v>2110.65</v>
      </c>
      <c r="H320" s="44">
        <f t="shared" si="49"/>
        <v>281.42</v>
      </c>
      <c r="I320" s="44">
        <f t="shared" si="50"/>
        <v>15900.23</v>
      </c>
    </row>
    <row r="321" spans="2:9" x14ac:dyDescent="0.2">
      <c r="B321" s="201" t="s">
        <v>551</v>
      </c>
      <c r="C321" s="187" t="s">
        <v>3</v>
      </c>
      <c r="D321" s="16" t="s">
        <v>845</v>
      </c>
      <c r="E321" s="16">
        <f t="shared" si="48"/>
        <v>113457.85</v>
      </c>
      <c r="F321" s="16">
        <v>98659</v>
      </c>
      <c r="G321" s="16">
        <f t="shared" si="39"/>
        <v>14798.849999999999</v>
      </c>
      <c r="H321" s="44">
        <f t="shared" si="49"/>
        <v>1973.18</v>
      </c>
      <c r="I321" s="44">
        <f t="shared" si="50"/>
        <v>111484.67000000001</v>
      </c>
    </row>
    <row r="322" spans="2:9" x14ac:dyDescent="0.2">
      <c r="B322" s="201" t="s">
        <v>344</v>
      </c>
      <c r="C322" s="187" t="s">
        <v>3</v>
      </c>
      <c r="D322" s="16" t="s">
        <v>846</v>
      </c>
      <c r="E322" s="16">
        <f t="shared" si="48"/>
        <v>172558.65</v>
      </c>
      <c r="F322" s="16">
        <v>150051</v>
      </c>
      <c r="G322" s="16">
        <f t="shared" si="39"/>
        <v>22507.649999999998</v>
      </c>
      <c r="H322" s="44">
        <f t="shared" si="49"/>
        <v>3001.02</v>
      </c>
      <c r="I322" s="44">
        <f t="shared" si="50"/>
        <v>169557.63</v>
      </c>
    </row>
  </sheetData>
  <autoFilter ref="A4:K32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FF00"/>
  </sheetPr>
  <dimension ref="A1:L58"/>
  <sheetViews>
    <sheetView showGridLines="0" tabSelected="1"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21" style="87" bestFit="1" customWidth="1"/>
    <col min="2" max="2" width="8.140625" style="140" bestFit="1" customWidth="1"/>
    <col min="3" max="3" width="9.5703125" style="87" bestFit="1" customWidth="1"/>
    <col min="4" max="4" width="13.28515625" style="87" bestFit="1" customWidth="1"/>
    <col min="5" max="5" width="11.85546875" style="87" bestFit="1" customWidth="1"/>
    <col min="6" max="6" width="11.140625" style="87" bestFit="1" customWidth="1"/>
    <col min="7" max="7" width="9" style="87"/>
    <col min="8" max="8" width="15.85546875" style="87" bestFit="1" customWidth="1"/>
    <col min="9" max="9" width="10.140625" style="87" customWidth="1"/>
    <col min="10" max="16384" width="9" style="87"/>
  </cols>
  <sheetData>
    <row r="1" spans="1:12" x14ac:dyDescent="0.25">
      <c r="A1" s="161" t="s">
        <v>866</v>
      </c>
      <c r="B1" s="162" t="s">
        <v>18</v>
      </c>
      <c r="C1" s="163" t="s">
        <v>19</v>
      </c>
      <c r="D1" s="164" t="s">
        <v>20</v>
      </c>
      <c r="E1" s="164" t="s">
        <v>21</v>
      </c>
      <c r="F1" s="163" t="s">
        <v>22</v>
      </c>
    </row>
    <row r="2" spans="1:12" ht="15.75" thickBot="1" x14ac:dyDescent="0.3">
      <c r="A2" s="245"/>
      <c r="B2" s="245"/>
      <c r="C2" s="245"/>
      <c r="D2" s="245"/>
      <c r="E2" s="245"/>
      <c r="F2" s="245"/>
    </row>
    <row r="3" spans="1:12" ht="15.75" thickBot="1" x14ac:dyDescent="0.3">
      <c r="A3" s="141" t="s">
        <v>0</v>
      </c>
      <c r="B3" s="142">
        <f>Adomantra!F2</f>
        <v>8646621.4855000023</v>
      </c>
      <c r="C3" s="142">
        <f>Adomantra!H2</f>
        <v>1126444.9154999999</v>
      </c>
      <c r="D3" s="142">
        <f>Adomantra!L2</f>
        <v>8496217.9541000016</v>
      </c>
      <c r="E3" s="142">
        <f>Adomantra!M2</f>
        <v>8499150</v>
      </c>
      <c r="F3" s="143">
        <f t="shared" ref="F3" si="0">D3-E3</f>
        <v>-2932.0458999983966</v>
      </c>
      <c r="H3" s="153" t="s">
        <v>322</v>
      </c>
      <c r="I3" s="154">
        <f>SUM(B3:B44)</f>
        <v>28237178.419600002</v>
      </c>
    </row>
    <row r="4" spans="1:12" ht="15.75" thickBot="1" x14ac:dyDescent="0.3">
      <c r="A4" s="144" t="s">
        <v>6</v>
      </c>
      <c r="B4" s="142">
        <f>iCubes!F20</f>
        <v>2917591.7800000003</v>
      </c>
      <c r="C4" s="142">
        <f>iCubes!H20</f>
        <v>377253.78</v>
      </c>
      <c r="D4" s="142">
        <f>iCubes!L20</f>
        <v>2866785.02</v>
      </c>
      <c r="E4" s="142">
        <f>iCubes!M20</f>
        <v>2866783</v>
      </c>
      <c r="F4" s="143">
        <f t="shared" ref="F4:F33" si="1">D4-E4</f>
        <v>2.0200000000186265</v>
      </c>
      <c r="H4" s="155"/>
      <c r="I4" s="156"/>
    </row>
    <row r="5" spans="1:12" ht="15.75" thickBot="1" x14ac:dyDescent="0.3">
      <c r="A5" s="144" t="s">
        <v>10</v>
      </c>
      <c r="B5" s="142">
        <f>'Media-Conversion'!F28</f>
        <v>1801132.2039999997</v>
      </c>
      <c r="C5" s="142">
        <f>'Media-Conversion'!H28</f>
        <v>233492.24399999998</v>
      </c>
      <c r="D5" s="142">
        <f>'Media-Conversion'!L28</f>
        <v>1769779.4048000001</v>
      </c>
      <c r="E5" s="142">
        <f>'Media-Conversion'!M28</f>
        <v>1767972</v>
      </c>
      <c r="F5" s="143">
        <f t="shared" si="1"/>
        <v>1807.4048000001349</v>
      </c>
      <c r="H5" s="157" t="s">
        <v>323</v>
      </c>
      <c r="I5" s="158">
        <f>SUM(C3:C44)</f>
        <v>3626383.3946000012</v>
      </c>
    </row>
    <row r="6" spans="1:12" ht="15.75" thickBot="1" x14ac:dyDescent="0.3">
      <c r="A6" s="144" t="s">
        <v>8</v>
      </c>
      <c r="B6" s="142">
        <f>Bizvin!F2</f>
        <v>3094701.85335</v>
      </c>
      <c r="C6" s="142">
        <f>Bizvin!H2</f>
        <v>400310.80334999994</v>
      </c>
      <c r="D6" s="142">
        <f>Bizvin!L2</f>
        <v>3040814.03235</v>
      </c>
      <c r="E6" s="142">
        <f>Bizvin!M2</f>
        <v>3040824</v>
      </c>
      <c r="F6" s="143">
        <f t="shared" si="1"/>
        <v>-9.9676500000059605</v>
      </c>
      <c r="H6" s="155"/>
      <c r="I6" s="156"/>
    </row>
    <row r="7" spans="1:12" ht="15.75" thickBot="1" x14ac:dyDescent="0.3">
      <c r="A7" s="145" t="s">
        <v>3</v>
      </c>
      <c r="B7" s="146">
        <f>KOMLI!F2</f>
        <v>2289646.8249999997</v>
      </c>
      <c r="C7" s="146">
        <f>KOMLI!H2</f>
        <v>292838.82500000001</v>
      </c>
      <c r="D7" s="146">
        <f>KOMLI!L2</f>
        <v>2249710.665</v>
      </c>
      <c r="E7" s="146">
        <f>KOMLI!M2</f>
        <v>2249710</v>
      </c>
      <c r="F7" s="147">
        <f t="shared" si="1"/>
        <v>0.6650000000372529</v>
      </c>
      <c r="H7" s="157" t="s">
        <v>20</v>
      </c>
      <c r="I7" s="158">
        <f>SUM(D3:D44)</f>
        <v>27750187.709099997</v>
      </c>
    </row>
    <row r="8" spans="1:12" ht="15.75" thickBot="1" x14ac:dyDescent="0.3">
      <c r="A8" s="206" t="s">
        <v>2</v>
      </c>
      <c r="B8" s="207">
        <f>'Fork Media'!F23</f>
        <v>2408202.64</v>
      </c>
      <c r="C8" s="207">
        <f>'Fork Media'!H23</f>
        <v>309019.64000000007</v>
      </c>
      <c r="D8" s="207">
        <f>'Fork Media'!L23</f>
        <v>2366218.98</v>
      </c>
      <c r="E8" s="207">
        <f>'Fork Media'!M23</f>
        <v>2366217</v>
      </c>
      <c r="F8" s="208">
        <f t="shared" si="1"/>
        <v>1.9799999999813735</v>
      </c>
      <c r="H8" s="155"/>
      <c r="I8" s="156"/>
    </row>
    <row r="9" spans="1:12" ht="15.75" thickBot="1" x14ac:dyDescent="0.3">
      <c r="A9" s="206" t="s">
        <v>4</v>
      </c>
      <c r="B9" s="207">
        <f>Dcreative!F2</f>
        <v>631770.04999999993</v>
      </c>
      <c r="C9" s="207">
        <f>Dcreative!H2</f>
        <v>81132.949999999983</v>
      </c>
      <c r="D9" s="207">
        <f>Dcreative!L2</f>
        <v>620757.30799999996</v>
      </c>
      <c r="E9" s="207">
        <f>Dcreative!M2</f>
        <v>630817</v>
      </c>
      <c r="F9" s="208">
        <f t="shared" si="1"/>
        <v>-10059.692000000039</v>
      </c>
      <c r="H9" s="157" t="s">
        <v>21</v>
      </c>
      <c r="I9" s="158">
        <f>SUM(E3:E44)</f>
        <v>26405128.370000001</v>
      </c>
    </row>
    <row r="10" spans="1:12" ht="15.75" thickBot="1" x14ac:dyDescent="0.3">
      <c r="A10" s="206" t="s">
        <v>9</v>
      </c>
      <c r="B10" s="207">
        <f>'SVG+DGM'!F28</f>
        <v>605328.55999999994</v>
      </c>
      <c r="C10" s="207">
        <f>'SVG+DGM'!H28</f>
        <v>44133.06</v>
      </c>
      <c r="D10" s="207">
        <f>'SVG+DGM'!L28</f>
        <v>599329.84000000008</v>
      </c>
      <c r="E10" s="207">
        <f>'SVG+DGM'!M28</f>
        <v>595810.37</v>
      </c>
      <c r="F10" s="208">
        <f t="shared" si="1"/>
        <v>3519.4700000000885</v>
      </c>
      <c r="H10" s="155"/>
      <c r="I10" s="156"/>
    </row>
    <row r="11" spans="1:12" ht="15.75" thickBot="1" x14ac:dyDescent="0.3">
      <c r="A11" s="206" t="s">
        <v>7</v>
      </c>
      <c r="B11" s="207">
        <f>Aqugen!F16</f>
        <v>380494.95000000007</v>
      </c>
      <c r="C11" s="207">
        <f>Aqugen!H16</f>
        <v>49535.95</v>
      </c>
      <c r="D11" s="207">
        <f>Aqugen!L16</f>
        <v>373875.77</v>
      </c>
      <c r="E11" s="207">
        <f>Aqugen!M16</f>
        <v>373875</v>
      </c>
      <c r="F11" s="208">
        <f t="shared" si="1"/>
        <v>0.77000000001862645</v>
      </c>
      <c r="H11" s="159" t="s">
        <v>22</v>
      </c>
      <c r="I11" s="160">
        <f>SUM(F3:F44)</f>
        <v>1345059.3391000016</v>
      </c>
    </row>
    <row r="12" spans="1:12" x14ac:dyDescent="0.25">
      <c r="A12" s="206" t="s">
        <v>15</v>
      </c>
      <c r="B12" s="207">
        <f>OptiMidea!F14</f>
        <v>1273610.0499999998</v>
      </c>
      <c r="C12" s="207">
        <f>OptiMidea!H14</f>
        <v>166123.04999999999</v>
      </c>
      <c r="D12" s="207">
        <f>OptiMidea!L14</f>
        <v>1251460.31</v>
      </c>
      <c r="E12" s="209">
        <f>OptiMidea!M14</f>
        <v>1251473</v>
      </c>
      <c r="F12" s="208">
        <f t="shared" si="1"/>
        <v>-12.689999999944121</v>
      </c>
    </row>
    <row r="13" spans="1:12" ht="15.75" thickBot="1" x14ac:dyDescent="0.3">
      <c r="A13" s="206" t="s">
        <v>11</v>
      </c>
      <c r="B13" s="207">
        <f>Opicle!F16</f>
        <v>773113.37500000012</v>
      </c>
      <c r="C13" s="207">
        <f>Opicle!H16</f>
        <v>100818.37499999999</v>
      </c>
      <c r="D13" s="207">
        <f>Opicle!L16</f>
        <v>759667.47499999998</v>
      </c>
      <c r="E13" s="207">
        <f>Opicle!M16</f>
        <v>759669</v>
      </c>
      <c r="F13" s="208">
        <f t="shared" si="1"/>
        <v>-1.5250000000232831</v>
      </c>
    </row>
    <row r="14" spans="1:12" ht="15.75" thickBot="1" x14ac:dyDescent="0.3">
      <c r="A14" s="206" t="s">
        <v>16</v>
      </c>
      <c r="B14" s="207">
        <f>Mobinet!F17</f>
        <v>1662844.04675</v>
      </c>
      <c r="C14" s="207">
        <f>Mobinet!H17</f>
        <v>216892.70174999998</v>
      </c>
      <c r="D14" s="207">
        <f>Mobinet!L17</f>
        <v>1633925.0198499998</v>
      </c>
      <c r="E14" s="207">
        <f>Mobinet!M17</f>
        <v>726597</v>
      </c>
      <c r="F14" s="208">
        <f t="shared" si="1"/>
        <v>907328.01984999981</v>
      </c>
      <c r="H14" s="246" t="s">
        <v>360</v>
      </c>
      <c r="I14" s="247"/>
      <c r="J14" s="247"/>
      <c r="K14" s="247"/>
      <c r="L14" s="248"/>
    </row>
    <row r="15" spans="1:12" x14ac:dyDescent="0.25">
      <c r="A15" s="206" t="s">
        <v>1</v>
      </c>
      <c r="B15" s="207">
        <f>DigiDesk!F22</f>
        <v>36004.199999999997</v>
      </c>
      <c r="C15" s="207">
        <f>DigiDesk!H22</f>
        <v>4696.2</v>
      </c>
      <c r="D15" s="207">
        <f>DigiDesk!L22</f>
        <v>35378.04</v>
      </c>
      <c r="E15" s="207">
        <f>DigiDesk!M22</f>
        <v>35378</v>
      </c>
      <c r="F15" s="208">
        <f t="shared" si="1"/>
        <v>4.0000000000873115E-2</v>
      </c>
    </row>
    <row r="16" spans="1:12" x14ac:dyDescent="0.25">
      <c r="A16" s="206" t="s">
        <v>713</v>
      </c>
      <c r="B16" s="207">
        <f>Pracharnama!F14</f>
        <v>646893.4</v>
      </c>
      <c r="C16" s="207">
        <f>Pracharnama!H14</f>
        <v>84377.4</v>
      </c>
      <c r="D16" s="207">
        <f>Pracharnama!L14</f>
        <v>635643.07999999996</v>
      </c>
      <c r="E16" s="207">
        <f>Pracharnama!M14</f>
        <v>225035</v>
      </c>
      <c r="F16" s="208">
        <f t="shared" si="1"/>
        <v>410608.07999999996</v>
      </c>
      <c r="H16" s="249" t="s">
        <v>880</v>
      </c>
      <c r="I16" s="249"/>
    </row>
    <row r="17" spans="1:8" x14ac:dyDescent="0.25">
      <c r="A17" s="206" t="s">
        <v>516</v>
      </c>
      <c r="B17" s="207">
        <f>Catalyst!F15</f>
        <v>34835.800000000003</v>
      </c>
      <c r="C17" s="207">
        <f>Catalyst!H15</f>
        <v>4543.7999999999993</v>
      </c>
      <c r="D17" s="207">
        <f>Catalyst!L15</f>
        <v>34229.96</v>
      </c>
      <c r="E17" s="207">
        <f>Catalyst!M15</f>
        <v>34230</v>
      </c>
      <c r="F17" s="208">
        <f t="shared" si="1"/>
        <v>-4.0000000000873115E-2</v>
      </c>
    </row>
    <row r="18" spans="1:8" x14ac:dyDescent="0.25">
      <c r="A18" s="148" t="s">
        <v>12</v>
      </c>
      <c r="B18" s="149">
        <f>Vertoz!F15</f>
        <v>370812.35000000003</v>
      </c>
      <c r="C18" s="149">
        <f>Vertoz!H15</f>
        <v>48347.85</v>
      </c>
      <c r="D18" s="149">
        <f>Vertoz!L15</f>
        <v>364363.05999999994</v>
      </c>
      <c r="E18" s="149">
        <f>Vertoz!M15</f>
        <v>364362</v>
      </c>
      <c r="F18" s="150">
        <f>D18-E18</f>
        <v>1.059999999939464</v>
      </c>
      <c r="H18" s="183"/>
    </row>
    <row r="19" spans="1:8" x14ac:dyDescent="0.25">
      <c r="A19" s="148" t="s">
        <v>324</v>
      </c>
      <c r="B19" s="149">
        <f>CTN!F14</f>
        <v>182920.15</v>
      </c>
      <c r="C19" s="149">
        <f>CTN!H14</f>
        <v>23859.149999999998</v>
      </c>
      <c r="D19" s="149">
        <f>CTN!L14</f>
        <v>179738.93</v>
      </c>
      <c r="E19" s="151">
        <f>CTN!M14</f>
        <v>179739</v>
      </c>
      <c r="F19" s="150">
        <f t="shared" si="1"/>
        <v>-7.0000000006984919E-2</v>
      </c>
    </row>
    <row r="20" spans="1:8" x14ac:dyDescent="0.25">
      <c r="A20" s="148" t="s">
        <v>675</v>
      </c>
      <c r="B20" s="149">
        <f>AdsPayMedia!F14</f>
        <v>23244.949999999997</v>
      </c>
      <c r="C20" s="149">
        <f>AdsPayMedia!H14</f>
        <v>3031.95</v>
      </c>
      <c r="D20" s="149">
        <f>AdsPayMedia!L14</f>
        <v>22840.69</v>
      </c>
      <c r="E20" s="151">
        <f>AdsPayMedia!M14</f>
        <v>22841</v>
      </c>
      <c r="F20" s="150">
        <f t="shared" si="1"/>
        <v>-0.31000000000130967</v>
      </c>
    </row>
    <row r="21" spans="1:8" x14ac:dyDescent="0.25">
      <c r="A21" s="148" t="s">
        <v>689</v>
      </c>
      <c r="B21" s="149">
        <f>Adclickzone!F13</f>
        <v>50441.3</v>
      </c>
      <c r="C21" s="149">
        <f>Adclickzone!H13</f>
        <v>6579.3</v>
      </c>
      <c r="D21" s="149">
        <f>Adclickzone!L13</f>
        <v>49564.06</v>
      </c>
      <c r="E21" s="151">
        <f>Adclickzone!M13</f>
        <v>49564</v>
      </c>
      <c r="F21" s="150">
        <f t="shared" si="1"/>
        <v>5.9999999997671694E-2</v>
      </c>
    </row>
    <row r="22" spans="1:8" x14ac:dyDescent="0.25">
      <c r="A22" s="148" t="s">
        <v>695</v>
      </c>
      <c r="B22" s="149">
        <f>AdSpar!F13</f>
        <v>20579.25</v>
      </c>
      <c r="C22" s="149">
        <f>AdSpar!H13</f>
        <v>2684.25</v>
      </c>
      <c r="D22" s="149">
        <f>AdSpar!L13</f>
        <v>20221.349999999999</v>
      </c>
      <c r="E22" s="151">
        <f>AdSpar!M13</f>
        <v>0</v>
      </c>
      <c r="F22" s="150">
        <f t="shared" si="1"/>
        <v>20221.349999999999</v>
      </c>
    </row>
    <row r="23" spans="1:8" x14ac:dyDescent="0.25">
      <c r="A23" s="148" t="s">
        <v>554</v>
      </c>
      <c r="B23" s="149">
        <f>AD2Click!F15</f>
        <v>25026.5</v>
      </c>
      <c r="C23" s="149">
        <f>AD2Click!H15</f>
        <v>3246.5</v>
      </c>
      <c r="D23" s="149">
        <f>AD2Click!L15</f>
        <v>24590.9</v>
      </c>
      <c r="E23" s="149">
        <f>AD2Click!M15</f>
        <v>24591</v>
      </c>
      <c r="F23" s="150">
        <f t="shared" si="1"/>
        <v>-9.9999999998544808E-2</v>
      </c>
    </row>
    <row r="24" spans="1:8" x14ac:dyDescent="0.25">
      <c r="A24" s="148" t="s">
        <v>838</v>
      </c>
      <c r="B24" s="149">
        <f>Zeematics!F13</f>
        <v>9994.65</v>
      </c>
      <c r="C24" s="149">
        <f>Zeematics!H13</f>
        <v>1303.6499999999999</v>
      </c>
      <c r="D24" s="149">
        <f>Zeematics!L13</f>
        <v>9820.83</v>
      </c>
      <c r="E24" s="149">
        <f>Zeematics!M13</f>
        <v>9995</v>
      </c>
      <c r="F24" s="150">
        <f t="shared" si="1"/>
        <v>-174.17000000000007</v>
      </c>
    </row>
    <row r="25" spans="1:8" x14ac:dyDescent="0.25">
      <c r="A25" s="148" t="s">
        <v>742</v>
      </c>
      <c r="B25" s="149">
        <f>Adzjunction!F13</f>
        <v>10346.549999999999</v>
      </c>
      <c r="C25" s="149">
        <f>Adzjunction!H13</f>
        <v>1349.55</v>
      </c>
      <c r="D25" s="149">
        <f>Adzjunction!L13</f>
        <v>10166.609999999999</v>
      </c>
      <c r="E25" s="149">
        <f>Adzjunction!M13</f>
        <v>10167</v>
      </c>
      <c r="F25" s="150">
        <f t="shared" si="1"/>
        <v>-0.39000000000123691</v>
      </c>
    </row>
    <row r="26" spans="1:8" x14ac:dyDescent="0.25">
      <c r="A26" s="148" t="s">
        <v>709</v>
      </c>
      <c r="B26" s="149">
        <f>Rappier!F13</f>
        <v>42343</v>
      </c>
      <c r="C26" s="149">
        <f>Rappier!H13</f>
        <v>5523</v>
      </c>
      <c r="D26" s="149">
        <f>Rappier!L13</f>
        <v>41606.600000000006</v>
      </c>
      <c r="E26" s="149">
        <f>Rappier!M13</f>
        <v>41606</v>
      </c>
      <c r="F26" s="150">
        <f t="shared" si="1"/>
        <v>0.60000000000582077</v>
      </c>
    </row>
    <row r="27" spans="1:8" x14ac:dyDescent="0.25">
      <c r="A27" s="148" t="s">
        <v>777</v>
      </c>
      <c r="B27" s="149">
        <f>Esperto!F13</f>
        <v>30834.95</v>
      </c>
      <c r="C27" s="149">
        <f>Esperto!H13</f>
        <v>4021.95</v>
      </c>
      <c r="D27" s="149">
        <f>Esperto!L13</f>
        <v>30298.690000000002</v>
      </c>
      <c r="E27" s="149">
        <f>Esperto!M13</f>
        <v>30217</v>
      </c>
      <c r="F27" s="150">
        <f t="shared" si="1"/>
        <v>81.690000000002328</v>
      </c>
    </row>
    <row r="28" spans="1:8" x14ac:dyDescent="0.25">
      <c r="A28" s="168" t="s">
        <v>373</v>
      </c>
      <c r="B28" s="149">
        <f>Myinsuranceclub!F14</f>
        <v>25564.5</v>
      </c>
      <c r="C28" s="149">
        <f>Myinsuranceclub!H14</f>
        <v>3334.5</v>
      </c>
      <c r="D28" s="149">
        <f>Myinsuranceclub!L14</f>
        <v>25119.9</v>
      </c>
      <c r="E28" s="149">
        <f>Myinsuranceclub!M14</f>
        <v>10000</v>
      </c>
      <c r="F28" s="150">
        <f t="shared" si="1"/>
        <v>15119.900000000001</v>
      </c>
    </row>
    <row r="29" spans="1:8" x14ac:dyDescent="0.25">
      <c r="A29" s="168" t="s">
        <v>378</v>
      </c>
      <c r="B29" s="169">
        <f>Refearn!F14</f>
        <v>21531.45</v>
      </c>
      <c r="C29" s="169">
        <f>Refearn!H14</f>
        <v>2808.45</v>
      </c>
      <c r="D29" s="169">
        <f>Refearn!L14</f>
        <v>21156.99</v>
      </c>
      <c r="E29" s="169">
        <f>Refearn!M14</f>
        <v>21156</v>
      </c>
      <c r="F29" s="150">
        <f t="shared" si="1"/>
        <v>0.99000000000160071</v>
      </c>
    </row>
    <row r="30" spans="1:8" x14ac:dyDescent="0.25">
      <c r="A30" s="168" t="s">
        <v>619</v>
      </c>
      <c r="B30" s="169">
        <f>Xapads!F18</f>
        <v>25932.5</v>
      </c>
      <c r="C30" s="169">
        <f>Xapads!H18</f>
        <v>3382.5</v>
      </c>
      <c r="D30" s="169">
        <f>Xapads!L18</f>
        <v>25481.5</v>
      </c>
      <c r="E30" s="169">
        <f>Xapads!M18</f>
        <v>25481</v>
      </c>
      <c r="F30" s="150">
        <f t="shared" si="1"/>
        <v>0.5</v>
      </c>
    </row>
    <row r="31" spans="1:8" x14ac:dyDescent="0.25">
      <c r="A31" s="203" t="s">
        <v>14</v>
      </c>
      <c r="B31" s="204">
        <f>'Sense Digital'!F16</f>
        <v>31542.2</v>
      </c>
      <c r="C31" s="204">
        <f>'Sense Digital'!H16</f>
        <v>4114.2</v>
      </c>
      <c r="D31" s="204">
        <f>'Sense Digital'!L16</f>
        <v>30993.64</v>
      </c>
      <c r="E31" s="204">
        <f>'Sense Digital'!M16</f>
        <v>30916</v>
      </c>
      <c r="F31" s="205">
        <f>D31-E31</f>
        <v>77.639999999999418</v>
      </c>
    </row>
    <row r="32" spans="1:8" x14ac:dyDescent="0.25">
      <c r="A32" s="203" t="s">
        <v>702</v>
      </c>
      <c r="B32" s="204">
        <f>Adhunterz!F13</f>
        <v>5150.8500000000004</v>
      </c>
      <c r="C32" s="204">
        <f>Adhunterz!H13</f>
        <v>671.85</v>
      </c>
      <c r="D32" s="204">
        <f>Adhunterz!L13</f>
        <v>5061.2700000000004</v>
      </c>
      <c r="E32" s="204">
        <f>Adhunterz!M13</f>
        <v>5061</v>
      </c>
      <c r="F32" s="205">
        <f>D32-E32</f>
        <v>0.27000000000043656</v>
      </c>
    </row>
    <row r="33" spans="1:6" x14ac:dyDescent="0.25">
      <c r="A33" s="168" t="s">
        <v>389</v>
      </c>
      <c r="B33" s="169">
        <f>Admitad!F23</f>
        <v>8692.85</v>
      </c>
      <c r="C33" s="169">
        <f>Admitad!H23</f>
        <v>1133.8499999999999</v>
      </c>
      <c r="D33" s="169">
        <f>Admitad!L23</f>
        <v>8541.67</v>
      </c>
      <c r="E33" s="169">
        <f>Admitad!M2</f>
        <v>8542</v>
      </c>
      <c r="F33" s="150">
        <f t="shared" si="1"/>
        <v>-0.32999999999992724</v>
      </c>
    </row>
    <row r="34" spans="1:6" x14ac:dyDescent="0.25">
      <c r="A34" s="148" t="s">
        <v>13</v>
      </c>
      <c r="B34" s="149">
        <f>'Value First'!F16</f>
        <v>0</v>
      </c>
      <c r="C34" s="149">
        <f>'Value First'!H16</f>
        <v>0</v>
      </c>
      <c r="D34" s="149">
        <f>'Value First'!L16</f>
        <v>0</v>
      </c>
      <c r="E34" s="149">
        <f>'Value First'!M16</f>
        <v>0</v>
      </c>
      <c r="F34" s="150">
        <f>D34-E34</f>
        <v>0</v>
      </c>
    </row>
    <row r="35" spans="1:6" x14ac:dyDescent="0.25">
      <c r="A35" s="148" t="s">
        <v>17</v>
      </c>
      <c r="B35" s="149"/>
      <c r="C35" s="152"/>
      <c r="D35" s="152"/>
      <c r="E35" s="152"/>
      <c r="F35" s="150">
        <f>D35-E35</f>
        <v>0</v>
      </c>
    </row>
    <row r="36" spans="1:6" x14ac:dyDescent="0.25">
      <c r="A36" s="148" t="s">
        <v>5</v>
      </c>
      <c r="B36" s="149">
        <f>HTTPOOL!F15</f>
        <v>149429.20000000001</v>
      </c>
      <c r="C36" s="149">
        <f>HTTPOOL!H15</f>
        <v>19377.199999999997</v>
      </c>
      <c r="D36" s="149">
        <f>HTTPOOL!L15</f>
        <v>146828.16</v>
      </c>
      <c r="E36" s="149">
        <f>HTTPOOL!M15</f>
        <v>147350</v>
      </c>
      <c r="F36" s="150">
        <f>D36-E36</f>
        <v>-521.83999999999651</v>
      </c>
    </row>
    <row r="37" spans="1:6" x14ac:dyDescent="0.25">
      <c r="B37" s="87"/>
    </row>
    <row r="38" spans="1:6" x14ac:dyDescent="0.25">
      <c r="B38" s="87"/>
    </row>
    <row r="39" spans="1:6" x14ac:dyDescent="0.25">
      <c r="B39" s="87"/>
    </row>
    <row r="40" spans="1:6" x14ac:dyDescent="0.25">
      <c r="B40" s="87"/>
    </row>
    <row r="41" spans="1:6" x14ac:dyDescent="0.25">
      <c r="B41" s="87"/>
    </row>
    <row r="42" spans="1:6" x14ac:dyDescent="0.25">
      <c r="B42" s="87"/>
    </row>
    <row r="43" spans="1:6" x14ac:dyDescent="0.25">
      <c r="B43" s="87"/>
    </row>
    <row r="44" spans="1:6" x14ac:dyDescent="0.25">
      <c r="B44" s="87"/>
    </row>
    <row r="45" spans="1:6" x14ac:dyDescent="0.25">
      <c r="B45" s="87"/>
    </row>
    <row r="46" spans="1:6" x14ac:dyDescent="0.25">
      <c r="B46" s="87"/>
    </row>
    <row r="49" spans="8:9" ht="15.75" thickBot="1" x14ac:dyDescent="0.3"/>
    <row r="50" spans="8:9" ht="15.75" thickBot="1" x14ac:dyDescent="0.3">
      <c r="H50" s="138" t="s">
        <v>322</v>
      </c>
      <c r="I50" s="139">
        <f>SUM(B49:B69)</f>
        <v>0</v>
      </c>
    </row>
    <row r="51" spans="8:9" ht="15.75" thickBot="1" x14ac:dyDescent="0.3"/>
    <row r="52" spans="8:9" ht="15.75" thickBot="1" x14ac:dyDescent="0.3">
      <c r="H52" s="138" t="s">
        <v>323</v>
      </c>
      <c r="I52" s="139">
        <f>SUM(C49:C69)</f>
        <v>0</v>
      </c>
    </row>
    <row r="53" spans="8:9" ht="15.75" thickBot="1" x14ac:dyDescent="0.3"/>
    <row r="54" spans="8:9" ht="15.75" thickBot="1" x14ac:dyDescent="0.3">
      <c r="H54" s="138" t="s">
        <v>20</v>
      </c>
      <c r="I54" s="139">
        <f>SUM(D49:D69)</f>
        <v>0</v>
      </c>
    </row>
    <row r="55" spans="8:9" ht="15.75" thickBot="1" x14ac:dyDescent="0.3"/>
    <row r="56" spans="8:9" ht="15.75" thickBot="1" x14ac:dyDescent="0.3">
      <c r="H56" s="138" t="s">
        <v>21</v>
      </c>
      <c r="I56" s="139">
        <f>SUM(E49:E69)</f>
        <v>0</v>
      </c>
    </row>
    <row r="57" spans="8:9" ht="15.75" thickBot="1" x14ac:dyDescent="0.3"/>
    <row r="58" spans="8:9" ht="15.75" thickBot="1" x14ac:dyDescent="0.3">
      <c r="H58" s="138" t="s">
        <v>22</v>
      </c>
      <c r="I58" s="139">
        <f>SUM(F49:F69)</f>
        <v>0</v>
      </c>
    </row>
  </sheetData>
  <mergeCells count="3">
    <mergeCell ref="A2:F2"/>
    <mergeCell ref="H14:L14"/>
    <mergeCell ref="H16:I16"/>
  </mergeCells>
  <hyperlinks>
    <hyperlink ref="A3" location="Adomantra!A1" display="Adomantra!A1" xr:uid="{00000000-0004-0000-0100-000000000000}"/>
    <hyperlink ref="A15" location="DigiDesk!A1" display="Digidesk" xr:uid="{00000000-0004-0000-0100-000001000000}"/>
    <hyperlink ref="A8" location="'Fork Media'!A1" display="ClickZoot / Fork Media" xr:uid="{00000000-0004-0000-0100-000002000000}"/>
    <hyperlink ref="A7" location="KOMLI!A1" display="Komli Media" xr:uid="{00000000-0004-0000-0100-000003000000}"/>
    <hyperlink ref="A19" location="CTN!A1" display="Click Thru Network" xr:uid="{00000000-0004-0000-0100-000004000000}"/>
    <hyperlink ref="A9" location="Dcreative!A1" display="D-creative" xr:uid="{00000000-0004-0000-0100-000005000000}"/>
    <hyperlink ref="A36" location="HTTPOOL!A1" display="HTTPOOL" xr:uid="{00000000-0004-0000-0100-000006000000}"/>
    <hyperlink ref="A4" location="iCubes!A1" display="Icubes" xr:uid="{00000000-0004-0000-0100-000007000000}"/>
    <hyperlink ref="A11" location="AquGen!A1" display="AquGen!A1" xr:uid="{00000000-0004-0000-0100-000008000000}"/>
    <hyperlink ref="A6" location="Bizvin!A1" display="Bizwin" xr:uid="{00000000-0004-0000-0100-000009000000}"/>
    <hyperlink ref="A10" location="'SVG+DGM'!A1" display="SVG+DGM" xr:uid="{00000000-0004-0000-0100-00000A000000}"/>
    <hyperlink ref="A5" location="'Media-Conversion'!A1" display="Media-Conv" xr:uid="{00000000-0004-0000-0100-00000B000000}"/>
    <hyperlink ref="A13" location="Opicle!A1" display="Opicle" xr:uid="{00000000-0004-0000-0100-00000C000000}"/>
    <hyperlink ref="A23" location="AD2Click!A1" display="AD2CLICK" xr:uid="{00000000-0004-0000-0100-00000D000000}"/>
    <hyperlink ref="A18" location="Vertoz!A1" display="Vertoz" xr:uid="{00000000-0004-0000-0100-00000E000000}"/>
    <hyperlink ref="A34" location="'Value First'!A1" display="Value First" xr:uid="{00000000-0004-0000-0100-00000F000000}"/>
    <hyperlink ref="A31" location="'Sense Digital'!A1" display="Sense Digital" xr:uid="{00000000-0004-0000-0100-000010000000}"/>
    <hyperlink ref="A12" location="OptiMidea!A1" display="OptiMidea" xr:uid="{00000000-0004-0000-0100-000011000000}"/>
    <hyperlink ref="A14" location="Mobinet!A1" display="Eleve Media" xr:uid="{00000000-0004-0000-0100-000012000000}"/>
    <hyperlink ref="A35" location="Girnarsoft!A1" display="Girnarsoft" xr:uid="{00000000-0004-0000-0100-000013000000}"/>
    <hyperlink ref="A28" location="Myinsuranceclub!A1" display="Myinsuranceclub" xr:uid="{00000000-0004-0000-0100-000014000000}"/>
    <hyperlink ref="A29" location="Refearn!A1" display="Refearn" xr:uid="{00000000-0004-0000-0100-000015000000}"/>
    <hyperlink ref="A33" location="Admitad!A1" display="Admitad" xr:uid="{00000000-0004-0000-0100-000016000000}"/>
    <hyperlink ref="A17" location="Catalyst!A1" display="Catalyst" xr:uid="{00000000-0004-0000-0100-000017000000}"/>
    <hyperlink ref="A30" location="Xapads!A1" display="Xapads" xr:uid="{00000000-0004-0000-0100-000018000000}"/>
    <hyperlink ref="A20" location="AdsPayMedia!A1" display="AdsPayMedia" xr:uid="{00000000-0004-0000-0100-000019000000}"/>
    <hyperlink ref="A21" location="Adclickzone!A1" display="Ad-Click-Zone" xr:uid="{00000000-0004-0000-0100-00001A000000}"/>
    <hyperlink ref="A22" location="AdSpar!A1" display="AdSpar" xr:uid="{00000000-0004-0000-0100-00001B000000}"/>
    <hyperlink ref="A32" location="Adhunterz!A1" display="Adhunterz" xr:uid="{00000000-0004-0000-0100-00001C000000}"/>
    <hyperlink ref="A26" location="Rappier!A1" display="Rappier" xr:uid="{00000000-0004-0000-0100-00001D000000}"/>
    <hyperlink ref="A16" location="Pracharnama!A1" display="Pracharnama" xr:uid="{00000000-0004-0000-0100-00001E000000}"/>
    <hyperlink ref="A25" location="Adzjunction!A1" display="Adzjunction" xr:uid="{00000000-0004-0000-0100-00001F000000}"/>
    <hyperlink ref="A27" location="Esperto!A1" display="Esperto" xr:uid="{00000000-0004-0000-0100-000020000000}"/>
    <hyperlink ref="A24" location="Zeematics!A1" display="Zeematics" xr:uid="{00000000-0004-0000-0100-000021000000}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P32"/>
  <sheetViews>
    <sheetView workbookViewId="0">
      <selection activeCell="E20" sqref="E20"/>
    </sheetView>
  </sheetViews>
  <sheetFormatPr defaultColWidth="9.140625" defaultRowHeight="12.75" x14ac:dyDescent="0.2"/>
  <cols>
    <col min="1" max="1" width="12.5703125" style="5" bestFit="1" customWidth="1"/>
    <col min="2" max="2" width="5.5703125" style="5" bestFit="1" customWidth="1"/>
    <col min="3" max="3" width="16.140625" style="5" bestFit="1" customWidth="1"/>
    <col min="4" max="4" width="5.5703125" style="31" bestFit="1" customWidth="1"/>
    <col min="5" max="5" width="38.5703125" style="32" bestFit="1" customWidth="1"/>
    <col min="6" max="6" width="10.42578125" style="32" bestFit="1" customWidth="1"/>
    <col min="7" max="7" width="9.28515625" style="32" bestFit="1" customWidth="1"/>
    <col min="8" max="8" width="8.7109375" style="32" bestFit="1" customWidth="1"/>
    <col min="9" max="9" width="10.7109375" style="5" bestFit="1" customWidth="1"/>
    <col min="10" max="10" width="7.42578125" style="32" bestFit="1" customWidth="1"/>
    <col min="11" max="11" width="7" style="32" bestFit="1" customWidth="1"/>
    <col min="12" max="12" width="12.140625" style="32" bestFit="1" customWidth="1"/>
    <col min="13" max="13" width="13.5703125" style="5" bestFit="1" customWidth="1"/>
    <col min="14" max="14" width="14.85546875" style="5" bestFit="1" customWidth="1"/>
    <col min="15" max="15" width="5.5703125" style="5" bestFit="1" customWidth="1"/>
    <col min="16" max="16" width="11.7109375" style="5" bestFit="1" customWidth="1"/>
    <col min="17" max="16384" width="9.140625" style="5"/>
  </cols>
  <sheetData>
    <row r="1" spans="1:16" x14ac:dyDescent="0.2">
      <c r="A1" s="1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3" t="s">
        <v>28</v>
      </c>
      <c r="G1" s="3" t="s">
        <v>29</v>
      </c>
      <c r="H1" s="3" t="s">
        <v>30</v>
      </c>
      <c r="I1" s="2" t="s">
        <v>31</v>
      </c>
      <c r="J1" s="2" t="s">
        <v>32</v>
      </c>
      <c r="K1" s="3" t="s">
        <v>33</v>
      </c>
      <c r="L1" s="3" t="s">
        <v>20</v>
      </c>
      <c r="M1" s="3" t="s">
        <v>34</v>
      </c>
      <c r="N1" s="3" t="s">
        <v>35</v>
      </c>
      <c r="O1" s="3" t="s">
        <v>36</v>
      </c>
      <c r="P1" s="4" t="s">
        <v>37</v>
      </c>
    </row>
    <row r="2" spans="1:16" ht="23.25" x14ac:dyDescent="0.35">
      <c r="A2" s="250" t="s">
        <v>38</v>
      </c>
      <c r="B2" s="251"/>
      <c r="C2" s="252"/>
      <c r="D2" s="6"/>
      <c r="E2" s="7" t="s">
        <v>39</v>
      </c>
      <c r="F2" s="8">
        <f>SUM(F3:F30)</f>
        <v>2289646.8249999997</v>
      </c>
      <c r="G2" s="8">
        <f>SUM(G3:G30)</f>
        <v>1996808</v>
      </c>
      <c r="H2" s="8">
        <f>SUM(H3:H30)</f>
        <v>292838.82500000001</v>
      </c>
      <c r="I2" s="6"/>
      <c r="J2" s="8"/>
      <c r="K2" s="8">
        <f>SUM(K3:K30)</f>
        <v>39936.159999999996</v>
      </c>
      <c r="L2" s="8">
        <f>SUM(L3:L30)</f>
        <v>2249710.665</v>
      </c>
      <c r="M2" s="8">
        <f>SUM(M3:M30)</f>
        <v>2249710</v>
      </c>
      <c r="N2" s="6"/>
      <c r="O2" s="6"/>
      <c r="P2" s="9"/>
    </row>
    <row r="3" spans="1:16" x14ac:dyDescent="0.2">
      <c r="A3" s="10" t="s">
        <v>40</v>
      </c>
      <c r="B3" s="10"/>
      <c r="C3" s="10" t="s">
        <v>41</v>
      </c>
      <c r="D3" s="11"/>
      <c r="E3" s="10" t="s">
        <v>42</v>
      </c>
      <c r="F3" s="12">
        <f>G3+H3</f>
        <v>984508.78500000003</v>
      </c>
      <c r="G3" s="12">
        <v>859833</v>
      </c>
      <c r="H3" s="12">
        <f>G3*14.5%</f>
        <v>124675.78499999999</v>
      </c>
      <c r="I3" s="10"/>
      <c r="J3" s="12"/>
      <c r="K3" s="12">
        <f>G3*2%</f>
        <v>17196.66</v>
      </c>
      <c r="L3" s="12">
        <f>F3-K3</f>
        <v>967312.125</v>
      </c>
      <c r="M3" s="12">
        <v>967312</v>
      </c>
      <c r="N3" s="13" t="s">
        <v>43</v>
      </c>
      <c r="O3" s="14" t="s">
        <v>44</v>
      </c>
      <c r="P3" s="14" t="s">
        <v>45</v>
      </c>
    </row>
    <row r="4" spans="1:16" x14ac:dyDescent="0.2">
      <c r="A4" s="10" t="s">
        <v>46</v>
      </c>
      <c r="B4" s="10"/>
      <c r="C4" s="10" t="s">
        <v>41</v>
      </c>
      <c r="D4" s="11"/>
      <c r="E4" s="10" t="s">
        <v>47</v>
      </c>
      <c r="F4" s="12">
        <f t="shared" ref="F4:F30" si="0">G4+H4</f>
        <v>119189.92</v>
      </c>
      <c r="G4" s="12">
        <v>104096</v>
      </c>
      <c r="H4" s="12">
        <f t="shared" ref="H4:H5" si="1">G4*14.5%</f>
        <v>15093.919999999998</v>
      </c>
      <c r="I4" s="10"/>
      <c r="J4" s="12"/>
      <c r="K4" s="12">
        <f t="shared" ref="K4:K30" si="2">G4*2%</f>
        <v>2081.92</v>
      </c>
      <c r="L4" s="12">
        <f t="shared" ref="L4:L30" si="3">F4-K4</f>
        <v>117108</v>
      </c>
      <c r="M4" s="10">
        <v>117108</v>
      </c>
      <c r="N4" s="10" t="s">
        <v>48</v>
      </c>
      <c r="O4" s="14" t="s">
        <v>44</v>
      </c>
      <c r="P4" s="14" t="s">
        <v>45</v>
      </c>
    </row>
    <row r="5" spans="1:16" x14ac:dyDescent="0.2">
      <c r="A5" s="10" t="s">
        <v>46</v>
      </c>
      <c r="B5" s="10"/>
      <c r="C5" s="10" t="s">
        <v>41</v>
      </c>
      <c r="D5" s="11"/>
      <c r="E5" s="10" t="s">
        <v>49</v>
      </c>
      <c r="F5" s="12">
        <f t="shared" si="0"/>
        <v>426565.17</v>
      </c>
      <c r="G5" s="12">
        <v>372546</v>
      </c>
      <c r="H5" s="12">
        <f t="shared" si="1"/>
        <v>54019.17</v>
      </c>
      <c r="I5" s="10"/>
      <c r="J5" s="12"/>
      <c r="K5" s="12">
        <f t="shared" si="2"/>
        <v>7450.92</v>
      </c>
      <c r="L5" s="12">
        <f t="shared" si="3"/>
        <v>419114.25</v>
      </c>
      <c r="M5" s="10">
        <v>419114</v>
      </c>
      <c r="N5" s="10" t="s">
        <v>48</v>
      </c>
      <c r="O5" s="14" t="s">
        <v>44</v>
      </c>
      <c r="P5" s="14" t="s">
        <v>45</v>
      </c>
    </row>
    <row r="6" spans="1:16" x14ac:dyDescent="0.2">
      <c r="A6" s="10" t="s">
        <v>50</v>
      </c>
      <c r="B6" s="10"/>
      <c r="C6" s="10" t="s">
        <v>41</v>
      </c>
      <c r="D6" s="233"/>
      <c r="E6" s="12" t="s">
        <v>51</v>
      </c>
      <c r="F6" s="12">
        <f t="shared" si="0"/>
        <v>150552.25</v>
      </c>
      <c r="G6" s="12">
        <v>130915</v>
      </c>
      <c r="H6" s="12">
        <f t="shared" ref="H6:H30" si="4">G6*15%</f>
        <v>19637.25</v>
      </c>
      <c r="I6" s="10"/>
      <c r="J6" s="12"/>
      <c r="K6" s="12">
        <f t="shared" si="2"/>
        <v>2618.3000000000002</v>
      </c>
      <c r="L6" s="12">
        <f t="shared" si="3"/>
        <v>147933.95000000001</v>
      </c>
      <c r="M6" s="10">
        <v>147934</v>
      </c>
      <c r="N6" s="10" t="s">
        <v>867</v>
      </c>
      <c r="O6" s="14" t="s">
        <v>44</v>
      </c>
      <c r="P6" s="14" t="s">
        <v>45</v>
      </c>
    </row>
    <row r="7" spans="1:16" x14ac:dyDescent="0.2">
      <c r="A7" s="10"/>
      <c r="B7" s="10"/>
      <c r="C7" s="10"/>
      <c r="D7" s="10"/>
      <c r="E7" s="12" t="s">
        <v>558</v>
      </c>
      <c r="F7" s="12">
        <f t="shared" si="0"/>
        <v>207984.4</v>
      </c>
      <c r="G7" s="12">
        <v>180856</v>
      </c>
      <c r="H7" s="12">
        <f t="shared" si="4"/>
        <v>27128.399999999998</v>
      </c>
      <c r="I7" s="10"/>
      <c r="J7" s="12"/>
      <c r="K7" s="12">
        <f t="shared" si="2"/>
        <v>3617.12</v>
      </c>
      <c r="L7" s="12">
        <f t="shared" si="3"/>
        <v>204367.28</v>
      </c>
      <c r="M7" s="10">
        <v>204367</v>
      </c>
      <c r="N7" s="14" t="s">
        <v>739</v>
      </c>
      <c r="O7" s="14" t="s">
        <v>44</v>
      </c>
      <c r="P7" s="14" t="s">
        <v>45</v>
      </c>
    </row>
    <row r="8" spans="1:16" x14ac:dyDescent="0.2">
      <c r="A8" s="10"/>
      <c r="B8" s="10"/>
      <c r="C8" s="10" t="s">
        <v>841</v>
      </c>
      <c r="D8" s="10"/>
      <c r="E8" s="12" t="s">
        <v>840</v>
      </c>
      <c r="F8" s="12">
        <f t="shared" si="0"/>
        <v>7863.7</v>
      </c>
      <c r="G8" s="12">
        <v>6838</v>
      </c>
      <c r="H8" s="12">
        <f t="shared" si="4"/>
        <v>1025.7</v>
      </c>
      <c r="I8" s="10"/>
      <c r="J8" s="12"/>
      <c r="K8" s="12">
        <f t="shared" si="2"/>
        <v>136.76</v>
      </c>
      <c r="L8" s="12">
        <f t="shared" si="3"/>
        <v>7726.94</v>
      </c>
      <c r="M8" s="10">
        <v>7727</v>
      </c>
      <c r="N8" s="14" t="s">
        <v>739</v>
      </c>
      <c r="O8" s="14" t="s">
        <v>44</v>
      </c>
      <c r="P8" s="14" t="s">
        <v>45</v>
      </c>
    </row>
    <row r="9" spans="1:16" x14ac:dyDescent="0.2">
      <c r="A9" s="10"/>
      <c r="B9" s="10"/>
      <c r="C9" s="10" t="s">
        <v>841</v>
      </c>
      <c r="D9" s="10"/>
      <c r="E9" s="176" t="s">
        <v>842</v>
      </c>
      <c r="F9" s="12">
        <f t="shared" si="0"/>
        <v>19057.8</v>
      </c>
      <c r="G9" s="12">
        <v>16572</v>
      </c>
      <c r="H9" s="12">
        <f t="shared" si="4"/>
        <v>2485.7999999999997</v>
      </c>
      <c r="I9" s="10"/>
      <c r="J9" s="12"/>
      <c r="K9" s="12">
        <f t="shared" si="2"/>
        <v>331.44</v>
      </c>
      <c r="L9" s="12">
        <f t="shared" si="3"/>
        <v>18726.36</v>
      </c>
      <c r="M9" s="10">
        <v>18726</v>
      </c>
      <c r="N9" s="14" t="s">
        <v>739</v>
      </c>
      <c r="O9" s="14" t="s">
        <v>44</v>
      </c>
      <c r="P9" s="14" t="s">
        <v>45</v>
      </c>
    </row>
    <row r="10" spans="1:16" x14ac:dyDescent="0.2">
      <c r="A10" s="10"/>
      <c r="B10" s="10"/>
      <c r="C10" s="10" t="s">
        <v>841</v>
      </c>
      <c r="D10" s="10"/>
      <c r="E10" s="12" t="s">
        <v>843</v>
      </c>
      <c r="F10" s="12">
        <f t="shared" si="0"/>
        <v>71726.649999999994</v>
      </c>
      <c r="G10" s="12">
        <v>62371</v>
      </c>
      <c r="H10" s="12">
        <f t="shared" si="4"/>
        <v>9355.65</v>
      </c>
      <c r="I10" s="10"/>
      <c r="J10" s="12"/>
      <c r="K10" s="12">
        <f t="shared" si="2"/>
        <v>1247.42</v>
      </c>
      <c r="L10" s="12">
        <f t="shared" si="3"/>
        <v>70479.23</v>
      </c>
      <c r="M10" s="10">
        <v>70479</v>
      </c>
      <c r="N10" s="14" t="s">
        <v>739</v>
      </c>
      <c r="O10" s="14" t="s">
        <v>44</v>
      </c>
      <c r="P10" s="14" t="s">
        <v>45</v>
      </c>
    </row>
    <row r="11" spans="1:16" x14ac:dyDescent="0.2">
      <c r="A11" s="10"/>
      <c r="B11" s="10"/>
      <c r="C11" s="10" t="s">
        <v>841</v>
      </c>
      <c r="D11" s="10"/>
      <c r="E11" s="12" t="s">
        <v>844</v>
      </c>
      <c r="F11" s="12">
        <f t="shared" si="0"/>
        <v>16181.65</v>
      </c>
      <c r="G11" s="12">
        <v>14071</v>
      </c>
      <c r="H11" s="12">
        <f t="shared" si="4"/>
        <v>2110.65</v>
      </c>
      <c r="I11" s="10"/>
      <c r="J11" s="12"/>
      <c r="K11" s="12">
        <f t="shared" si="2"/>
        <v>281.42</v>
      </c>
      <c r="L11" s="12">
        <f t="shared" si="3"/>
        <v>15900.23</v>
      </c>
      <c r="M11" s="10">
        <v>15900</v>
      </c>
      <c r="N11" s="14" t="s">
        <v>739</v>
      </c>
      <c r="O11" s="14" t="s">
        <v>44</v>
      </c>
      <c r="P11" s="14" t="s">
        <v>45</v>
      </c>
    </row>
    <row r="12" spans="1:16" x14ac:dyDescent="0.2">
      <c r="A12" s="10"/>
      <c r="B12" s="10"/>
      <c r="C12" s="10" t="s">
        <v>841</v>
      </c>
      <c r="D12" s="10"/>
      <c r="E12" s="12" t="s">
        <v>845</v>
      </c>
      <c r="F12" s="12">
        <f t="shared" si="0"/>
        <v>113457.85</v>
      </c>
      <c r="G12" s="12">
        <v>98659</v>
      </c>
      <c r="H12" s="12">
        <f t="shared" si="4"/>
        <v>14798.849999999999</v>
      </c>
      <c r="I12" s="10"/>
      <c r="J12" s="12"/>
      <c r="K12" s="12">
        <f t="shared" si="2"/>
        <v>1973.18</v>
      </c>
      <c r="L12" s="12">
        <f t="shared" si="3"/>
        <v>111484.67000000001</v>
      </c>
      <c r="M12" s="10">
        <v>111485</v>
      </c>
      <c r="N12" s="14" t="s">
        <v>739</v>
      </c>
      <c r="O12" s="14" t="s">
        <v>44</v>
      </c>
      <c r="P12" s="14" t="s">
        <v>45</v>
      </c>
    </row>
    <row r="13" spans="1:16" x14ac:dyDescent="0.2">
      <c r="A13" s="10"/>
      <c r="B13" s="10"/>
      <c r="C13" s="10"/>
      <c r="D13" s="10"/>
      <c r="E13" s="12" t="s">
        <v>846</v>
      </c>
      <c r="F13" s="12">
        <f t="shared" si="0"/>
        <v>172558.65</v>
      </c>
      <c r="G13" s="12">
        <v>150051</v>
      </c>
      <c r="H13" s="12">
        <f t="shared" si="4"/>
        <v>22507.649999999998</v>
      </c>
      <c r="I13" s="10"/>
      <c r="J13" s="12"/>
      <c r="K13" s="12">
        <f t="shared" si="2"/>
        <v>3001.02</v>
      </c>
      <c r="L13" s="12">
        <f t="shared" si="3"/>
        <v>169557.63</v>
      </c>
      <c r="M13" s="10">
        <v>169558</v>
      </c>
      <c r="N13" s="10" t="s">
        <v>867</v>
      </c>
      <c r="O13" s="14" t="s">
        <v>44</v>
      </c>
      <c r="P13" s="14" t="s">
        <v>45</v>
      </c>
    </row>
    <row r="14" spans="1:16" x14ac:dyDescent="0.2">
      <c r="A14" s="15"/>
      <c r="B14" s="15"/>
      <c r="C14" s="15"/>
      <c r="D14" s="15"/>
      <c r="E14" s="16"/>
      <c r="F14" s="16">
        <f t="shared" si="0"/>
        <v>0</v>
      </c>
      <c r="G14" s="16"/>
      <c r="H14" s="16">
        <f t="shared" si="4"/>
        <v>0</v>
      </c>
      <c r="I14" s="15"/>
      <c r="J14" s="16"/>
      <c r="K14" s="16">
        <f t="shared" si="2"/>
        <v>0</v>
      </c>
      <c r="L14" s="16">
        <f t="shared" si="3"/>
        <v>0</v>
      </c>
      <c r="M14" s="15"/>
      <c r="N14" s="15"/>
      <c r="O14" s="17"/>
      <c r="P14" s="17"/>
    </row>
    <row r="15" spans="1:16" x14ac:dyDescent="0.2">
      <c r="A15" s="15"/>
      <c r="B15" s="15"/>
      <c r="C15" s="15"/>
      <c r="D15" s="15"/>
      <c r="E15" s="16"/>
      <c r="F15" s="16">
        <f t="shared" si="0"/>
        <v>0</v>
      </c>
      <c r="G15" s="16"/>
      <c r="H15" s="16">
        <f t="shared" si="4"/>
        <v>0</v>
      </c>
      <c r="I15" s="15"/>
      <c r="J15" s="16"/>
      <c r="K15" s="16">
        <f t="shared" si="2"/>
        <v>0</v>
      </c>
      <c r="L15" s="16">
        <f t="shared" si="3"/>
        <v>0</v>
      </c>
      <c r="M15" s="15"/>
      <c r="N15" s="15"/>
      <c r="O15" s="17"/>
      <c r="P15" s="17"/>
    </row>
    <row r="16" spans="1:16" x14ac:dyDescent="0.2">
      <c r="A16" s="15"/>
      <c r="B16" s="15"/>
      <c r="C16" s="15"/>
      <c r="D16" s="15"/>
      <c r="E16" s="16"/>
      <c r="F16" s="16">
        <f t="shared" si="0"/>
        <v>0</v>
      </c>
      <c r="G16" s="16"/>
      <c r="H16" s="16">
        <f t="shared" si="4"/>
        <v>0</v>
      </c>
      <c r="I16" s="15"/>
      <c r="J16" s="16"/>
      <c r="K16" s="16">
        <f t="shared" si="2"/>
        <v>0</v>
      </c>
      <c r="L16" s="16">
        <f t="shared" si="3"/>
        <v>0</v>
      </c>
      <c r="M16" s="15"/>
      <c r="N16" s="15"/>
      <c r="O16" s="17"/>
      <c r="P16" s="17"/>
    </row>
    <row r="17" spans="1:16" x14ac:dyDescent="0.2">
      <c r="A17" s="45"/>
      <c r="B17" s="45"/>
      <c r="C17" s="45"/>
      <c r="D17" s="45"/>
      <c r="E17" s="98"/>
      <c r="F17" s="234">
        <f t="shared" si="0"/>
        <v>0</v>
      </c>
      <c r="G17" s="16"/>
      <c r="H17" s="16">
        <f t="shared" si="4"/>
        <v>0</v>
      </c>
      <c r="I17" s="15"/>
      <c r="J17" s="16"/>
      <c r="K17" s="16">
        <f t="shared" si="2"/>
        <v>0</v>
      </c>
      <c r="L17" s="16">
        <f t="shared" si="3"/>
        <v>0</v>
      </c>
      <c r="M17" s="15"/>
      <c r="N17" s="15"/>
      <c r="O17" s="17"/>
      <c r="P17" s="17"/>
    </row>
    <row r="18" spans="1:16" x14ac:dyDescent="0.2">
      <c r="A18" s="45"/>
      <c r="B18" s="45"/>
      <c r="C18" s="45"/>
      <c r="D18" s="45"/>
      <c r="E18" s="98"/>
      <c r="F18" s="234">
        <f t="shared" si="0"/>
        <v>0</v>
      </c>
      <c r="G18" s="16"/>
      <c r="H18" s="16">
        <f t="shared" si="4"/>
        <v>0</v>
      </c>
      <c r="I18" s="15"/>
      <c r="J18" s="16"/>
      <c r="K18" s="16">
        <f t="shared" si="2"/>
        <v>0</v>
      </c>
      <c r="L18" s="16">
        <f t="shared" si="3"/>
        <v>0</v>
      </c>
      <c r="M18" s="15"/>
      <c r="N18" s="15"/>
      <c r="O18" s="17"/>
      <c r="P18" s="17"/>
    </row>
    <row r="19" spans="1:16" x14ac:dyDescent="0.2">
      <c r="A19" s="45"/>
      <c r="B19" s="45"/>
      <c r="C19" s="45"/>
      <c r="D19" s="45"/>
      <c r="E19" s="98"/>
      <c r="F19" s="234">
        <f t="shared" si="0"/>
        <v>0</v>
      </c>
      <c r="G19" s="16"/>
      <c r="H19" s="16">
        <f t="shared" si="4"/>
        <v>0</v>
      </c>
      <c r="I19" s="15"/>
      <c r="J19" s="16"/>
      <c r="K19" s="16">
        <f t="shared" si="2"/>
        <v>0</v>
      </c>
      <c r="L19" s="16">
        <f t="shared" si="3"/>
        <v>0</v>
      </c>
      <c r="M19" s="15"/>
      <c r="N19" s="15"/>
      <c r="O19" s="15"/>
      <c r="P19" s="19"/>
    </row>
    <row r="20" spans="1:16" x14ac:dyDescent="0.2">
      <c r="A20" s="45"/>
      <c r="B20" s="45"/>
      <c r="C20" s="45"/>
      <c r="D20" s="45"/>
      <c r="E20" s="98"/>
      <c r="F20" s="234">
        <f t="shared" si="0"/>
        <v>0</v>
      </c>
      <c r="G20" s="16"/>
      <c r="H20" s="16">
        <f t="shared" si="4"/>
        <v>0</v>
      </c>
      <c r="I20" s="15"/>
      <c r="J20" s="16"/>
      <c r="K20" s="16">
        <f t="shared" si="2"/>
        <v>0</v>
      </c>
      <c r="L20" s="16">
        <f t="shared" si="3"/>
        <v>0</v>
      </c>
      <c r="M20" s="15"/>
      <c r="N20" s="15"/>
      <c r="O20" s="15"/>
      <c r="P20" s="19"/>
    </row>
    <row r="21" spans="1:16" x14ac:dyDescent="0.2">
      <c r="A21" s="45"/>
      <c r="B21" s="45"/>
      <c r="C21" s="45"/>
      <c r="D21" s="45"/>
      <c r="E21" s="98"/>
      <c r="F21" s="234">
        <f t="shared" si="0"/>
        <v>0</v>
      </c>
      <c r="G21" s="16"/>
      <c r="H21" s="16">
        <f t="shared" si="4"/>
        <v>0</v>
      </c>
      <c r="I21" s="15"/>
      <c r="J21" s="16"/>
      <c r="K21" s="16">
        <f t="shared" si="2"/>
        <v>0</v>
      </c>
      <c r="L21" s="16">
        <f t="shared" si="3"/>
        <v>0</v>
      </c>
      <c r="M21" s="15"/>
      <c r="N21" s="15"/>
      <c r="O21" s="17"/>
      <c r="P21" s="17"/>
    </row>
    <row r="22" spans="1:16" ht="15" x14ac:dyDescent="0.2">
      <c r="A22" s="45"/>
      <c r="B22" s="45"/>
      <c r="C22" s="45"/>
      <c r="D22" s="235"/>
      <c r="E22" s="236"/>
      <c r="F22" s="234">
        <f t="shared" si="0"/>
        <v>0</v>
      </c>
      <c r="G22" s="16"/>
      <c r="H22" s="16">
        <f t="shared" si="4"/>
        <v>0</v>
      </c>
      <c r="I22" s="15"/>
      <c r="J22" s="16"/>
      <c r="K22" s="16">
        <f t="shared" si="2"/>
        <v>0</v>
      </c>
      <c r="L22" s="16">
        <f t="shared" si="3"/>
        <v>0</v>
      </c>
      <c r="M22" s="15"/>
      <c r="N22" s="15"/>
      <c r="O22" s="15"/>
      <c r="P22" s="19"/>
    </row>
    <row r="23" spans="1:16" ht="15" x14ac:dyDescent="0.2">
      <c r="A23" s="45"/>
      <c r="B23" s="45"/>
      <c r="C23" s="45"/>
      <c r="D23" s="235"/>
      <c r="E23" s="236"/>
      <c r="F23" s="234">
        <f t="shared" si="0"/>
        <v>0</v>
      </c>
      <c r="G23" s="16"/>
      <c r="H23" s="16">
        <f t="shared" si="4"/>
        <v>0</v>
      </c>
      <c r="I23" s="15"/>
      <c r="J23" s="16"/>
      <c r="K23" s="16">
        <f t="shared" si="2"/>
        <v>0</v>
      </c>
      <c r="L23" s="16">
        <f t="shared" si="3"/>
        <v>0</v>
      </c>
      <c r="M23" s="15"/>
      <c r="N23" s="15"/>
      <c r="O23" s="15"/>
      <c r="P23" s="19"/>
    </row>
    <row r="24" spans="1:16" x14ac:dyDescent="0.2">
      <c r="A24" s="17"/>
      <c r="B24" s="17"/>
      <c r="C24" s="17"/>
      <c r="D24" s="237"/>
      <c r="E24" s="44"/>
      <c r="F24" s="234">
        <f t="shared" si="0"/>
        <v>0</v>
      </c>
      <c r="G24" s="22"/>
      <c r="H24" s="16">
        <f t="shared" si="4"/>
        <v>0</v>
      </c>
      <c r="I24" s="20"/>
      <c r="J24" s="22"/>
      <c r="K24" s="16">
        <f t="shared" si="2"/>
        <v>0</v>
      </c>
      <c r="L24" s="16">
        <f t="shared" si="3"/>
        <v>0</v>
      </c>
      <c r="M24" s="20"/>
      <c r="N24" s="20"/>
      <c r="O24" s="20"/>
      <c r="P24" s="23"/>
    </row>
    <row r="25" spans="1:16" x14ac:dyDescent="0.2">
      <c r="A25" s="17"/>
      <c r="B25" s="17"/>
      <c r="C25" s="17"/>
      <c r="D25" s="237"/>
      <c r="E25" s="44"/>
      <c r="F25" s="234">
        <f t="shared" si="0"/>
        <v>0</v>
      </c>
      <c r="G25" s="22"/>
      <c r="H25" s="16">
        <f t="shared" si="4"/>
        <v>0</v>
      </c>
      <c r="I25" s="20"/>
      <c r="J25" s="22"/>
      <c r="K25" s="16">
        <f t="shared" si="2"/>
        <v>0</v>
      </c>
      <c r="L25" s="16">
        <f t="shared" si="3"/>
        <v>0</v>
      </c>
      <c r="M25" s="20"/>
      <c r="N25" s="20"/>
      <c r="O25" s="20"/>
      <c r="P25" s="23"/>
    </row>
    <row r="26" spans="1:16" x14ac:dyDescent="0.2">
      <c r="A26" s="20"/>
      <c r="B26" s="20"/>
      <c r="C26" s="20"/>
      <c r="D26" s="21"/>
      <c r="E26" s="22"/>
      <c r="F26" s="16">
        <f t="shared" si="0"/>
        <v>0</v>
      </c>
      <c r="G26" s="22"/>
      <c r="H26" s="16">
        <f t="shared" si="4"/>
        <v>0</v>
      </c>
      <c r="I26" s="20"/>
      <c r="J26" s="22"/>
      <c r="K26" s="16">
        <f t="shared" si="2"/>
        <v>0</v>
      </c>
      <c r="L26" s="16">
        <f t="shared" si="3"/>
        <v>0</v>
      </c>
      <c r="M26" s="20"/>
      <c r="N26" s="20"/>
      <c r="O26" s="20"/>
      <c r="P26" s="23"/>
    </row>
    <row r="27" spans="1:16" x14ac:dyDescent="0.2">
      <c r="A27" s="24"/>
      <c r="B27" s="24"/>
      <c r="C27" s="24"/>
      <c r="D27" s="25"/>
      <c r="E27" s="26"/>
      <c r="F27" s="16">
        <f t="shared" si="0"/>
        <v>0</v>
      </c>
      <c r="G27" s="26"/>
      <c r="H27" s="16">
        <f t="shared" si="4"/>
        <v>0</v>
      </c>
      <c r="I27" s="24"/>
      <c r="J27" s="26"/>
      <c r="K27" s="16">
        <f t="shared" si="2"/>
        <v>0</v>
      </c>
      <c r="L27" s="16">
        <f t="shared" si="3"/>
        <v>0</v>
      </c>
      <c r="M27" s="24"/>
      <c r="N27" s="24"/>
      <c r="O27" s="24"/>
      <c r="P27" s="27"/>
    </row>
    <row r="28" spans="1:16" x14ac:dyDescent="0.2">
      <c r="A28" s="20"/>
      <c r="B28" s="20"/>
      <c r="C28" s="20"/>
      <c r="D28" s="21"/>
      <c r="E28" s="22"/>
      <c r="F28" s="16">
        <f t="shared" si="0"/>
        <v>0</v>
      </c>
      <c r="G28" s="22"/>
      <c r="H28" s="16">
        <f t="shared" si="4"/>
        <v>0</v>
      </c>
      <c r="I28" s="20"/>
      <c r="J28" s="22"/>
      <c r="K28" s="16">
        <f t="shared" si="2"/>
        <v>0</v>
      </c>
      <c r="L28" s="16">
        <f t="shared" si="3"/>
        <v>0</v>
      </c>
      <c r="M28" s="20"/>
      <c r="N28" s="20"/>
      <c r="O28" s="20"/>
      <c r="P28" s="23"/>
    </row>
    <row r="29" spans="1:16" x14ac:dyDescent="0.2">
      <c r="A29" s="20"/>
      <c r="B29" s="20"/>
      <c r="C29" s="20"/>
      <c r="D29" s="21"/>
      <c r="E29" s="22"/>
      <c r="F29" s="16">
        <f t="shared" si="0"/>
        <v>0</v>
      </c>
      <c r="G29" s="22"/>
      <c r="H29" s="16">
        <f t="shared" si="4"/>
        <v>0</v>
      </c>
      <c r="I29" s="20"/>
      <c r="J29" s="22"/>
      <c r="K29" s="16">
        <f t="shared" si="2"/>
        <v>0</v>
      </c>
      <c r="L29" s="16">
        <f t="shared" si="3"/>
        <v>0</v>
      </c>
      <c r="M29" s="20"/>
      <c r="N29" s="20"/>
      <c r="O29" s="20"/>
      <c r="P29" s="23"/>
    </row>
    <row r="30" spans="1:16" x14ac:dyDescent="0.2">
      <c r="A30" s="28"/>
      <c r="B30" s="28"/>
      <c r="C30" s="28"/>
      <c r="D30" s="29"/>
      <c r="E30" s="30"/>
      <c r="F30" s="16">
        <f t="shared" si="0"/>
        <v>0</v>
      </c>
      <c r="G30" s="30"/>
      <c r="H30" s="16">
        <f t="shared" si="4"/>
        <v>0</v>
      </c>
      <c r="I30" s="28"/>
      <c r="J30" s="30"/>
      <c r="K30" s="16">
        <f t="shared" si="2"/>
        <v>0</v>
      </c>
      <c r="L30" s="16">
        <f t="shared" si="3"/>
        <v>0</v>
      </c>
      <c r="M30" s="28"/>
      <c r="N30" s="28"/>
      <c r="O30" s="28"/>
      <c r="P30" s="17"/>
    </row>
    <row r="32" spans="1:16" x14ac:dyDescent="0.2">
      <c r="F32" s="33"/>
      <c r="G32" s="33"/>
      <c r="H32" s="33"/>
      <c r="I32" s="33"/>
      <c r="J32" s="34"/>
      <c r="K32" s="33"/>
      <c r="L32" s="33"/>
      <c r="M32" s="33"/>
    </row>
  </sheetData>
  <mergeCells count="1">
    <mergeCell ref="A2:C2"/>
  </mergeCells>
  <hyperlinks>
    <hyperlink ref="A2" location="HOME!A1" display="HOME" xr:uid="{00000000-0004-0000-0200-000000000000}"/>
    <hyperlink ref="E2" location="MONTHWISE!A1" display="Monthwise" xr:uid="{00000000-0004-0000-02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Q30"/>
  <sheetViews>
    <sheetView workbookViewId="0">
      <selection activeCell="E23" sqref="E23"/>
    </sheetView>
  </sheetViews>
  <sheetFormatPr defaultColWidth="9.140625" defaultRowHeight="12.75" x14ac:dyDescent="0.2"/>
  <cols>
    <col min="1" max="1" width="12.140625" style="39" bestFit="1" customWidth="1"/>
    <col min="2" max="2" width="5.5703125" style="39" bestFit="1" customWidth="1"/>
    <col min="3" max="3" width="21.42578125" style="39" bestFit="1" customWidth="1"/>
    <col min="4" max="4" width="5.5703125" style="39" bestFit="1" customWidth="1"/>
    <col min="5" max="5" width="22.42578125" style="39" bestFit="1" customWidth="1"/>
    <col min="6" max="6" width="10.42578125" style="32" bestFit="1" customWidth="1"/>
    <col min="7" max="7" width="9.28515625" style="42" bestFit="1" customWidth="1"/>
    <col min="8" max="8" width="8.7109375" style="32" bestFit="1" customWidth="1"/>
    <col min="9" max="9" width="10.7109375" style="39" bestFit="1" customWidth="1"/>
    <col min="10" max="10" width="8" style="39" bestFit="1" customWidth="1"/>
    <col min="11" max="11" width="6.5703125" style="32" bestFit="1" customWidth="1"/>
    <col min="12" max="12" width="12.140625" style="32" bestFit="1" customWidth="1"/>
    <col min="13" max="13" width="13.5703125" style="42" bestFit="1" customWidth="1"/>
    <col min="14" max="14" width="14.85546875" style="42" bestFit="1" customWidth="1"/>
    <col min="15" max="15" width="5.42578125" style="39" bestFit="1" customWidth="1"/>
    <col min="16" max="16" width="9.7109375" style="39" bestFit="1" customWidth="1"/>
    <col min="17" max="17" width="7.7109375" style="39" bestFit="1" customWidth="1"/>
    <col min="18" max="16384" width="9.140625" style="39"/>
  </cols>
  <sheetData>
    <row r="1" spans="1:17" x14ac:dyDescent="0.2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38" t="s">
        <v>37</v>
      </c>
      <c r="Q1" s="4" t="s">
        <v>52</v>
      </c>
    </row>
    <row r="2" spans="1:17" x14ac:dyDescent="0.2">
      <c r="A2" s="216" t="s">
        <v>53</v>
      </c>
      <c r="B2" s="65"/>
      <c r="C2" s="65"/>
      <c r="D2" s="65"/>
      <c r="E2" s="65" t="s">
        <v>54</v>
      </c>
      <c r="F2" s="74">
        <f t="shared" ref="F2:F21" si="0">SUM(G2:H2)</f>
        <v>1341438.49</v>
      </c>
      <c r="G2" s="67">
        <v>1171562</v>
      </c>
      <c r="H2" s="74">
        <f>G2*14.5%</f>
        <v>169876.49</v>
      </c>
      <c r="I2" s="217"/>
      <c r="J2" s="217"/>
      <c r="K2" s="74">
        <f>G2*2%</f>
        <v>23431.24</v>
      </c>
      <c r="L2" s="74">
        <f>F2-K2</f>
        <v>1318007.25</v>
      </c>
      <c r="M2" s="42">
        <v>1587239</v>
      </c>
      <c r="N2" s="22" t="s">
        <v>556</v>
      </c>
      <c r="O2" s="10" t="s">
        <v>44</v>
      </c>
      <c r="P2" s="68" t="s">
        <v>122</v>
      </c>
      <c r="Q2" s="23"/>
    </row>
    <row r="3" spans="1:17" x14ac:dyDescent="0.2">
      <c r="A3" s="202" t="s">
        <v>55</v>
      </c>
      <c r="B3" s="14"/>
      <c r="C3" s="14"/>
      <c r="D3" s="14"/>
      <c r="E3" s="14" t="s">
        <v>56</v>
      </c>
      <c r="F3" s="74">
        <f t="shared" si="0"/>
        <v>187283.25</v>
      </c>
      <c r="G3" s="75">
        <v>162855</v>
      </c>
      <c r="H3" s="74">
        <f>G3*15%</f>
        <v>24428.25</v>
      </c>
      <c r="I3" s="14"/>
      <c r="J3" s="14"/>
      <c r="K3" s="74">
        <f t="shared" ref="K3:K21" si="1">G3*2%</f>
        <v>3257.1</v>
      </c>
      <c r="L3" s="74">
        <f t="shared" ref="L3:L21" si="2">F3-K3</f>
        <v>184026.15</v>
      </c>
      <c r="M3" s="41"/>
      <c r="N3" s="44"/>
      <c r="O3" s="10" t="s">
        <v>44</v>
      </c>
      <c r="P3" s="68" t="s">
        <v>122</v>
      </c>
      <c r="Q3" s="17"/>
    </row>
    <row r="4" spans="1:17" x14ac:dyDescent="0.2">
      <c r="A4" s="202" t="s">
        <v>55</v>
      </c>
      <c r="B4" s="14"/>
      <c r="C4" s="14"/>
      <c r="D4" s="14"/>
      <c r="E4" s="14" t="s">
        <v>57</v>
      </c>
      <c r="F4" s="74">
        <f t="shared" si="0"/>
        <v>86715.75</v>
      </c>
      <c r="G4" s="75">
        <v>75405</v>
      </c>
      <c r="H4" s="74">
        <f t="shared" ref="H4:H21" si="3">G4*15%</f>
        <v>11310.75</v>
      </c>
      <c r="I4" s="14"/>
      <c r="J4" s="14"/>
      <c r="K4" s="74">
        <f t="shared" si="1"/>
        <v>1508.1000000000001</v>
      </c>
      <c r="L4" s="74">
        <f t="shared" si="2"/>
        <v>85207.65</v>
      </c>
      <c r="M4" s="41"/>
      <c r="N4" s="44"/>
      <c r="O4" s="10" t="s">
        <v>44</v>
      </c>
      <c r="P4" s="68" t="s">
        <v>122</v>
      </c>
      <c r="Q4" s="17"/>
    </row>
    <row r="5" spans="1:17" x14ac:dyDescent="0.2">
      <c r="A5" s="202" t="s">
        <v>608</v>
      </c>
      <c r="B5" s="14"/>
      <c r="C5" s="14"/>
      <c r="D5" s="14"/>
      <c r="E5" s="14" t="s">
        <v>601</v>
      </c>
      <c r="F5" s="74">
        <f t="shared" si="0"/>
        <v>97444.1</v>
      </c>
      <c r="G5" s="75">
        <v>84734</v>
      </c>
      <c r="H5" s="74">
        <f t="shared" si="3"/>
        <v>12710.1</v>
      </c>
      <c r="I5" s="14"/>
      <c r="J5" s="14"/>
      <c r="K5" s="74">
        <f t="shared" si="1"/>
        <v>1694.68</v>
      </c>
      <c r="L5" s="74">
        <f t="shared" si="2"/>
        <v>95749.420000000013</v>
      </c>
      <c r="M5" s="41">
        <v>95750</v>
      </c>
      <c r="N5" s="44" t="s">
        <v>782</v>
      </c>
      <c r="O5" s="10" t="s">
        <v>44</v>
      </c>
      <c r="P5" s="68" t="s">
        <v>122</v>
      </c>
      <c r="Q5" s="17"/>
    </row>
    <row r="6" spans="1:17" x14ac:dyDescent="0.2">
      <c r="A6" s="202" t="s">
        <v>608</v>
      </c>
      <c r="B6" s="14"/>
      <c r="C6" s="14"/>
      <c r="D6" s="14"/>
      <c r="E6" s="14" t="s">
        <v>602</v>
      </c>
      <c r="F6" s="74">
        <f t="shared" si="0"/>
        <v>23143.75</v>
      </c>
      <c r="G6" s="75">
        <v>20125</v>
      </c>
      <c r="H6" s="74">
        <f t="shared" si="3"/>
        <v>3018.75</v>
      </c>
      <c r="I6" s="14"/>
      <c r="J6" s="14"/>
      <c r="K6" s="74">
        <f t="shared" si="1"/>
        <v>402.5</v>
      </c>
      <c r="L6" s="74">
        <f t="shared" si="2"/>
        <v>22741.25</v>
      </c>
      <c r="M6" s="74">
        <v>22742</v>
      </c>
      <c r="N6" s="75" t="s">
        <v>854</v>
      </c>
      <c r="O6" s="10" t="s">
        <v>44</v>
      </c>
      <c r="P6" s="68" t="s">
        <v>122</v>
      </c>
      <c r="Q6" s="17"/>
    </row>
    <row r="7" spans="1:17" x14ac:dyDescent="0.2">
      <c r="A7" s="202" t="s">
        <v>608</v>
      </c>
      <c r="B7" s="14"/>
      <c r="C7" s="14"/>
      <c r="D7" s="14"/>
      <c r="E7" s="14" t="s">
        <v>603</v>
      </c>
      <c r="F7" s="74">
        <f t="shared" si="0"/>
        <v>21187.599999999999</v>
      </c>
      <c r="G7" s="75">
        <v>18424</v>
      </c>
      <c r="H7" s="74">
        <f t="shared" si="3"/>
        <v>2763.6</v>
      </c>
      <c r="I7" s="14"/>
      <c r="J7" s="14"/>
      <c r="K7" s="74">
        <f t="shared" si="1"/>
        <v>368.48</v>
      </c>
      <c r="L7" s="74">
        <f t="shared" si="2"/>
        <v>20819.12</v>
      </c>
      <c r="M7" s="74">
        <v>20819</v>
      </c>
      <c r="N7" s="75" t="s">
        <v>854</v>
      </c>
      <c r="O7" s="10" t="s">
        <v>44</v>
      </c>
      <c r="P7" s="68" t="s">
        <v>122</v>
      </c>
      <c r="Q7" s="17"/>
    </row>
    <row r="8" spans="1:17" x14ac:dyDescent="0.2">
      <c r="A8" s="202" t="s">
        <v>608</v>
      </c>
      <c r="B8" s="14"/>
      <c r="C8" s="14"/>
      <c r="D8" s="14"/>
      <c r="E8" s="14" t="s">
        <v>604</v>
      </c>
      <c r="F8" s="74">
        <f t="shared" si="0"/>
        <v>552</v>
      </c>
      <c r="G8" s="75">
        <v>480</v>
      </c>
      <c r="H8" s="74">
        <f t="shared" si="3"/>
        <v>72</v>
      </c>
      <c r="I8" s="14"/>
      <c r="J8" s="14"/>
      <c r="K8" s="74">
        <f t="shared" si="1"/>
        <v>9.6</v>
      </c>
      <c r="L8" s="74">
        <f t="shared" si="2"/>
        <v>542.4</v>
      </c>
      <c r="M8" s="74">
        <v>541</v>
      </c>
      <c r="N8" s="75" t="s">
        <v>854</v>
      </c>
      <c r="O8" s="10" t="s">
        <v>44</v>
      </c>
      <c r="P8" s="68" t="s">
        <v>122</v>
      </c>
      <c r="Q8" s="17"/>
    </row>
    <row r="9" spans="1:17" x14ac:dyDescent="0.2">
      <c r="A9" s="202" t="s">
        <v>608</v>
      </c>
      <c r="B9" s="14"/>
      <c r="C9" s="14"/>
      <c r="D9" s="14"/>
      <c r="E9" s="14" t="s">
        <v>605</v>
      </c>
      <c r="F9" s="74">
        <f t="shared" si="0"/>
        <v>14455.5</v>
      </c>
      <c r="G9" s="75">
        <v>12570</v>
      </c>
      <c r="H9" s="74">
        <f t="shared" si="3"/>
        <v>1885.5</v>
      </c>
      <c r="I9" s="14"/>
      <c r="J9" s="14"/>
      <c r="K9" s="74">
        <f t="shared" si="1"/>
        <v>251.4</v>
      </c>
      <c r="L9" s="74">
        <f t="shared" si="2"/>
        <v>14204.1</v>
      </c>
      <c r="M9" s="74">
        <v>14205</v>
      </c>
      <c r="N9" s="75" t="s">
        <v>854</v>
      </c>
      <c r="O9" s="10" t="s">
        <v>44</v>
      </c>
      <c r="P9" s="68" t="s">
        <v>122</v>
      </c>
      <c r="Q9" s="17"/>
    </row>
    <row r="10" spans="1:17" x14ac:dyDescent="0.2">
      <c r="A10" s="202" t="s">
        <v>608</v>
      </c>
      <c r="B10" s="14"/>
      <c r="C10" s="14"/>
      <c r="D10" s="14"/>
      <c r="E10" s="14" t="s">
        <v>606</v>
      </c>
      <c r="F10" s="74">
        <f t="shared" si="0"/>
        <v>36409</v>
      </c>
      <c r="G10" s="75">
        <v>31660</v>
      </c>
      <c r="H10" s="74">
        <f t="shared" si="3"/>
        <v>4749</v>
      </c>
      <c r="I10" s="14"/>
      <c r="J10" s="14"/>
      <c r="K10" s="74">
        <f t="shared" si="1"/>
        <v>633.20000000000005</v>
      </c>
      <c r="L10" s="74">
        <f t="shared" si="2"/>
        <v>35775.800000000003</v>
      </c>
      <c r="M10" s="74">
        <v>35775</v>
      </c>
      <c r="N10" s="75" t="s">
        <v>854</v>
      </c>
      <c r="O10" s="10" t="s">
        <v>44</v>
      </c>
      <c r="P10" s="68" t="s">
        <v>122</v>
      </c>
      <c r="Q10" s="17"/>
    </row>
    <row r="11" spans="1:17" x14ac:dyDescent="0.2">
      <c r="A11" s="202" t="s">
        <v>608</v>
      </c>
      <c r="B11" s="14"/>
      <c r="C11" s="14"/>
      <c r="D11" s="14"/>
      <c r="E11" s="14" t="s">
        <v>607</v>
      </c>
      <c r="F11" s="74">
        <f t="shared" si="0"/>
        <v>14628</v>
      </c>
      <c r="G11" s="75">
        <v>12720</v>
      </c>
      <c r="H11" s="74">
        <f t="shared" si="3"/>
        <v>1908</v>
      </c>
      <c r="I11" s="14"/>
      <c r="J11" s="14"/>
      <c r="K11" s="74">
        <f t="shared" si="1"/>
        <v>254.4</v>
      </c>
      <c r="L11" s="74">
        <f t="shared" si="2"/>
        <v>14373.6</v>
      </c>
      <c r="M11" s="74">
        <v>5918</v>
      </c>
      <c r="N11" s="75" t="s">
        <v>854</v>
      </c>
      <c r="O11" s="10" t="s">
        <v>44</v>
      </c>
      <c r="P11" s="68" t="s">
        <v>122</v>
      </c>
      <c r="Q11" s="17"/>
    </row>
    <row r="12" spans="1:17" x14ac:dyDescent="0.2">
      <c r="A12" s="202" t="s">
        <v>639</v>
      </c>
      <c r="B12" s="14"/>
      <c r="C12" s="14" t="s">
        <v>634</v>
      </c>
      <c r="D12" s="14" t="s">
        <v>80</v>
      </c>
      <c r="E12" s="14" t="s">
        <v>633</v>
      </c>
      <c r="F12" s="74">
        <f t="shared" si="0"/>
        <v>115000</v>
      </c>
      <c r="G12" s="75">
        <v>100000</v>
      </c>
      <c r="H12" s="74">
        <f t="shared" si="3"/>
        <v>15000</v>
      </c>
      <c r="I12" s="14"/>
      <c r="J12" s="14"/>
      <c r="K12" s="74">
        <f t="shared" si="1"/>
        <v>2000</v>
      </c>
      <c r="L12" s="74">
        <f t="shared" si="2"/>
        <v>113000</v>
      </c>
      <c r="M12" s="74">
        <v>121456</v>
      </c>
      <c r="N12" s="75" t="s">
        <v>878</v>
      </c>
      <c r="O12" s="10" t="s">
        <v>44</v>
      </c>
      <c r="P12" s="68" t="s">
        <v>122</v>
      </c>
      <c r="Q12" s="17"/>
    </row>
    <row r="13" spans="1:17" x14ac:dyDescent="0.2">
      <c r="A13" s="202" t="s">
        <v>639</v>
      </c>
      <c r="B13" s="14"/>
      <c r="C13" s="14" t="s">
        <v>636</v>
      </c>
      <c r="D13" s="14" t="s">
        <v>95</v>
      </c>
      <c r="E13" s="14" t="s">
        <v>635</v>
      </c>
      <c r="F13" s="74">
        <f t="shared" si="0"/>
        <v>56307.45</v>
      </c>
      <c r="G13" s="75">
        <v>48963</v>
      </c>
      <c r="H13" s="74">
        <f t="shared" si="3"/>
        <v>7344.45</v>
      </c>
      <c r="I13" s="14"/>
      <c r="J13" s="14"/>
      <c r="K13" s="74">
        <f t="shared" si="1"/>
        <v>979.26</v>
      </c>
      <c r="L13" s="74">
        <f t="shared" si="2"/>
        <v>55328.189999999995</v>
      </c>
      <c r="M13" s="74">
        <v>55329</v>
      </c>
      <c r="N13" s="75" t="s">
        <v>874</v>
      </c>
      <c r="O13" s="10" t="s">
        <v>44</v>
      </c>
      <c r="P13" s="68" t="s">
        <v>122</v>
      </c>
      <c r="Q13" s="17"/>
    </row>
    <row r="14" spans="1:17" x14ac:dyDescent="0.2">
      <c r="A14" s="202" t="s">
        <v>639</v>
      </c>
      <c r="B14" s="14"/>
      <c r="C14" s="14" t="s">
        <v>638</v>
      </c>
      <c r="D14" s="14" t="s">
        <v>95</v>
      </c>
      <c r="E14" s="14" t="s">
        <v>637</v>
      </c>
      <c r="F14" s="74">
        <f t="shared" si="0"/>
        <v>66166.399999999994</v>
      </c>
      <c r="G14" s="75">
        <v>57536</v>
      </c>
      <c r="H14" s="74">
        <f t="shared" si="3"/>
        <v>8630.4</v>
      </c>
      <c r="I14" s="14"/>
      <c r="J14" s="14"/>
      <c r="K14" s="74">
        <f t="shared" si="1"/>
        <v>1150.72</v>
      </c>
      <c r="L14" s="74">
        <f t="shared" si="2"/>
        <v>65015.679999999993</v>
      </c>
      <c r="M14" s="74">
        <v>65016</v>
      </c>
      <c r="N14" s="75" t="s">
        <v>874</v>
      </c>
      <c r="O14" s="10" t="s">
        <v>44</v>
      </c>
      <c r="P14" s="68" t="s">
        <v>122</v>
      </c>
      <c r="Q14" s="17"/>
    </row>
    <row r="15" spans="1:17" x14ac:dyDescent="0.2">
      <c r="A15" s="202" t="s">
        <v>669</v>
      </c>
      <c r="B15" s="14"/>
      <c r="C15" s="14" t="s">
        <v>685</v>
      </c>
      <c r="D15" s="14" t="s">
        <v>95</v>
      </c>
      <c r="E15" s="14" t="s">
        <v>684</v>
      </c>
      <c r="F15" s="74">
        <f t="shared" si="0"/>
        <v>144541.20000000001</v>
      </c>
      <c r="G15" s="75">
        <v>125688</v>
      </c>
      <c r="H15" s="74">
        <f t="shared" si="3"/>
        <v>18853.2</v>
      </c>
      <c r="I15" s="14"/>
      <c r="J15" s="14"/>
      <c r="K15" s="74">
        <f t="shared" si="1"/>
        <v>2513.7600000000002</v>
      </c>
      <c r="L15" s="74">
        <f t="shared" si="2"/>
        <v>142027.44</v>
      </c>
      <c r="M15" s="74">
        <v>142026</v>
      </c>
      <c r="N15" s="75" t="s">
        <v>870</v>
      </c>
      <c r="O15" s="10" t="s">
        <v>44</v>
      </c>
      <c r="P15" s="68" t="s">
        <v>122</v>
      </c>
      <c r="Q15" s="17"/>
    </row>
    <row r="16" spans="1:17" x14ac:dyDescent="0.2">
      <c r="A16" s="202" t="s">
        <v>669</v>
      </c>
      <c r="B16" s="14"/>
      <c r="C16" s="14" t="s">
        <v>687</v>
      </c>
      <c r="D16" s="14" t="s">
        <v>95</v>
      </c>
      <c r="E16" s="14" t="s">
        <v>686</v>
      </c>
      <c r="F16" s="74">
        <f t="shared" si="0"/>
        <v>202930.15</v>
      </c>
      <c r="G16" s="75">
        <v>176461</v>
      </c>
      <c r="H16" s="74">
        <f t="shared" si="3"/>
        <v>26469.149999999998</v>
      </c>
      <c r="I16" s="14"/>
      <c r="J16" s="14"/>
      <c r="K16" s="74">
        <f t="shared" si="1"/>
        <v>3529.2200000000003</v>
      </c>
      <c r="L16" s="74">
        <f t="shared" si="2"/>
        <v>199400.93</v>
      </c>
      <c r="M16" s="74">
        <v>199401</v>
      </c>
      <c r="N16" s="75" t="s">
        <v>870</v>
      </c>
      <c r="O16" s="10" t="s">
        <v>44</v>
      </c>
      <c r="P16" s="68" t="s">
        <v>122</v>
      </c>
      <c r="Q16" s="17"/>
    </row>
    <row r="17" spans="1:17" x14ac:dyDescent="0.2">
      <c r="A17" s="43"/>
      <c r="B17" s="17"/>
      <c r="C17" s="17"/>
      <c r="D17" s="17"/>
      <c r="E17" s="17"/>
      <c r="F17" s="41">
        <f t="shared" si="0"/>
        <v>0</v>
      </c>
      <c r="G17" s="44"/>
      <c r="H17" s="41">
        <f t="shared" si="3"/>
        <v>0</v>
      </c>
      <c r="I17" s="17"/>
      <c r="J17" s="17"/>
      <c r="K17" s="41">
        <f t="shared" si="1"/>
        <v>0</v>
      </c>
      <c r="L17" s="41">
        <f t="shared" si="2"/>
        <v>0</v>
      </c>
      <c r="M17" s="41"/>
      <c r="N17" s="44"/>
      <c r="O17" s="17"/>
      <c r="P17" s="17"/>
      <c r="Q17" s="17"/>
    </row>
    <row r="18" spans="1:17" x14ac:dyDescent="0.2">
      <c r="A18" s="43"/>
      <c r="B18" s="17"/>
      <c r="C18" s="17"/>
      <c r="D18" s="17"/>
      <c r="E18" s="17"/>
      <c r="F18" s="41">
        <f t="shared" si="0"/>
        <v>0</v>
      </c>
      <c r="G18" s="44"/>
      <c r="H18" s="41">
        <f t="shared" si="3"/>
        <v>0</v>
      </c>
      <c r="I18" s="17"/>
      <c r="J18" s="17"/>
      <c r="K18" s="41">
        <f t="shared" si="1"/>
        <v>0</v>
      </c>
      <c r="L18" s="41">
        <f t="shared" si="2"/>
        <v>0</v>
      </c>
      <c r="M18" s="41"/>
      <c r="N18" s="44"/>
      <c r="O18" s="17"/>
      <c r="P18" s="17"/>
      <c r="Q18" s="17"/>
    </row>
    <row r="19" spans="1:17" x14ac:dyDescent="0.2">
      <c r="A19" s="43"/>
      <c r="B19" s="17"/>
      <c r="C19" s="17"/>
      <c r="D19" s="17"/>
      <c r="E19" s="17"/>
      <c r="F19" s="41">
        <f t="shared" si="0"/>
        <v>0</v>
      </c>
      <c r="G19" s="44"/>
      <c r="H19" s="41">
        <f t="shared" si="3"/>
        <v>0</v>
      </c>
      <c r="I19" s="17"/>
      <c r="J19" s="17"/>
      <c r="K19" s="41">
        <f t="shared" si="1"/>
        <v>0</v>
      </c>
      <c r="L19" s="41">
        <f t="shared" si="2"/>
        <v>0</v>
      </c>
      <c r="M19" s="41"/>
      <c r="N19" s="44"/>
      <c r="O19" s="17"/>
      <c r="P19" s="17"/>
      <c r="Q19" s="17"/>
    </row>
    <row r="20" spans="1:17" x14ac:dyDescent="0.2">
      <c r="A20" s="43"/>
      <c r="B20" s="17"/>
      <c r="C20" s="17"/>
      <c r="D20" s="17"/>
      <c r="E20" s="17"/>
      <c r="F20" s="41">
        <f t="shared" si="0"/>
        <v>0</v>
      </c>
      <c r="G20" s="44"/>
      <c r="H20" s="41">
        <f t="shared" si="3"/>
        <v>0</v>
      </c>
      <c r="I20" s="17"/>
      <c r="J20" s="17"/>
      <c r="K20" s="41">
        <f t="shared" si="1"/>
        <v>0</v>
      </c>
      <c r="L20" s="41">
        <f t="shared" si="2"/>
        <v>0</v>
      </c>
      <c r="M20" s="41"/>
      <c r="N20" s="44"/>
      <c r="O20" s="17"/>
      <c r="P20" s="17"/>
      <c r="Q20" s="17"/>
    </row>
    <row r="21" spans="1:17" x14ac:dyDescent="0.2">
      <c r="A21" s="43"/>
      <c r="B21" s="17"/>
      <c r="C21" s="17"/>
      <c r="D21" s="17"/>
      <c r="E21" s="17"/>
      <c r="F21" s="41">
        <f t="shared" si="0"/>
        <v>0</v>
      </c>
      <c r="G21" s="44"/>
      <c r="H21" s="41">
        <f t="shared" si="3"/>
        <v>0</v>
      </c>
      <c r="I21" s="17"/>
      <c r="J21" s="17"/>
      <c r="K21" s="41">
        <f t="shared" si="1"/>
        <v>0</v>
      </c>
      <c r="L21" s="41">
        <f t="shared" si="2"/>
        <v>0</v>
      </c>
      <c r="M21" s="41"/>
      <c r="N21" s="44"/>
      <c r="O21" s="17"/>
      <c r="P21" s="17"/>
      <c r="Q21" s="17"/>
    </row>
    <row r="23" spans="1:17" ht="23.25" x14ac:dyDescent="0.35">
      <c r="E23" s="46" t="s">
        <v>38</v>
      </c>
      <c r="F23" s="33">
        <f>SUM(F2:F21)</f>
        <v>2408202.64</v>
      </c>
      <c r="G23" s="33">
        <f>SUM(G2:G21)</f>
        <v>2099183</v>
      </c>
      <c r="H23" s="33">
        <f>SUM(H2:H21)</f>
        <v>309019.64000000007</v>
      </c>
      <c r="K23" s="33">
        <f>SUM(K2:K21)</f>
        <v>41983.66</v>
      </c>
      <c r="L23" s="33">
        <f t="shared" ref="L23:M23" si="4">SUM(L2:L21)</f>
        <v>2366218.98</v>
      </c>
      <c r="M23" s="33">
        <f t="shared" si="4"/>
        <v>2366217</v>
      </c>
      <c r="N23" s="47"/>
    </row>
    <row r="24" spans="1:17" ht="18.75" x14ac:dyDescent="0.3">
      <c r="E24" s="48" t="s">
        <v>39</v>
      </c>
      <c r="P24" s="42">
        <f>L11-M11</f>
        <v>8455.6</v>
      </c>
    </row>
    <row r="25" spans="1:17" x14ac:dyDescent="0.2">
      <c r="J25" s="39">
        <f>F6*2%</f>
        <v>462.875</v>
      </c>
      <c r="M25" s="42">
        <v>301945</v>
      </c>
      <c r="N25" s="42">
        <v>79655</v>
      </c>
      <c r="P25" s="42">
        <f>F27-N25</f>
        <v>2726738.64</v>
      </c>
    </row>
    <row r="26" spans="1:17" x14ac:dyDescent="0.2">
      <c r="F26" s="32">
        <v>398191</v>
      </c>
      <c r="J26" s="39">
        <f t="shared" ref="J26:J29" si="5">F7*2%</f>
        <v>423.75199999999995</v>
      </c>
      <c r="N26" s="42">
        <v>62371</v>
      </c>
    </row>
    <row r="27" spans="1:17" x14ac:dyDescent="0.2">
      <c r="F27" s="32">
        <f>SUM(F23:F26)</f>
        <v>2806393.64</v>
      </c>
      <c r="J27" s="39">
        <f t="shared" si="5"/>
        <v>11.040000000000001</v>
      </c>
    </row>
    <row r="28" spans="1:17" x14ac:dyDescent="0.2">
      <c r="J28" s="39">
        <f t="shared" si="5"/>
        <v>289.11</v>
      </c>
      <c r="M28" s="42">
        <f>L23-M23</f>
        <v>1.9799999999813735</v>
      </c>
    </row>
    <row r="29" spans="1:17" x14ac:dyDescent="0.2">
      <c r="J29" s="39">
        <f t="shared" si="5"/>
        <v>728.18000000000006</v>
      </c>
      <c r="M29" s="42">
        <v>5633299.3035999984</v>
      </c>
    </row>
    <row r="30" spans="1:17" x14ac:dyDescent="0.2">
      <c r="J30" s="39">
        <f>F11*2%</f>
        <v>292.56</v>
      </c>
      <c r="M30" s="42">
        <f>M29-M25</f>
        <v>5331354.3035999984</v>
      </c>
    </row>
  </sheetData>
  <hyperlinks>
    <hyperlink ref="E23" location="HOME!A1" display="HOME" xr:uid="{00000000-0004-0000-0300-000000000000}"/>
    <hyperlink ref="E24" location="MONTHWISE!A1" display="Monthwise" xr:uid="{00000000-0004-0000-0300-000001000000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R89"/>
  <sheetViews>
    <sheetView workbookViewId="0">
      <pane ySplit="2" topLeftCell="A66" activePane="bottomLeft" state="frozen"/>
      <selection pane="bottomLeft"/>
    </sheetView>
  </sheetViews>
  <sheetFormatPr defaultColWidth="9.140625" defaultRowHeight="12.75" x14ac:dyDescent="0.2"/>
  <cols>
    <col min="1" max="1" width="12.85546875" style="51" bestFit="1" customWidth="1"/>
    <col min="2" max="2" width="14.42578125" style="51" bestFit="1" customWidth="1"/>
    <col min="3" max="3" width="23.140625" style="51" bestFit="1" customWidth="1"/>
    <col min="4" max="4" width="5.5703125" style="51" bestFit="1" customWidth="1"/>
    <col min="5" max="5" width="14.42578125" style="51" bestFit="1" customWidth="1"/>
    <col min="6" max="6" width="10.42578125" style="51" bestFit="1" customWidth="1"/>
    <col min="7" max="7" width="9.28515625" style="60" bestFit="1" customWidth="1"/>
    <col min="8" max="8" width="8.7109375" style="60" bestFit="1" customWidth="1"/>
    <col min="9" max="9" width="10.7109375" style="51" bestFit="1" customWidth="1"/>
    <col min="10" max="10" width="7.42578125" style="51" bestFit="1" customWidth="1"/>
    <col min="11" max="11" width="7" style="60" bestFit="1" customWidth="1"/>
    <col min="12" max="12" width="12.140625" style="60" bestFit="1" customWidth="1"/>
    <col min="13" max="13" width="13.5703125" style="51" bestFit="1" customWidth="1"/>
    <col min="14" max="14" width="14.85546875" style="51" bestFit="1" customWidth="1"/>
    <col min="15" max="15" width="5.42578125" style="51" bestFit="1" customWidth="1"/>
    <col min="16" max="16" width="8.5703125" style="51" bestFit="1" customWidth="1"/>
    <col min="17" max="16384" width="9.140625" style="51"/>
  </cols>
  <sheetData>
    <row r="1" spans="1:16" ht="13.5" thickBot="1" x14ac:dyDescent="0.25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ht="23.25" x14ac:dyDescent="0.35">
      <c r="A2" s="52" t="s">
        <v>38</v>
      </c>
      <c r="B2" s="48" t="s">
        <v>39</v>
      </c>
      <c r="C2" s="53"/>
      <c r="D2" s="53"/>
      <c r="E2" s="53"/>
      <c r="F2" s="54">
        <f>SUM(F3:F132)</f>
        <v>8646621.4855000023</v>
      </c>
      <c r="G2" s="54">
        <f>SUM(G3:G132)</f>
        <v>7520176.5700000003</v>
      </c>
      <c r="H2" s="54">
        <f>SUM(H3:H132)</f>
        <v>1126444.9154999999</v>
      </c>
      <c r="I2" s="53"/>
      <c r="J2" s="53"/>
      <c r="K2" s="54">
        <f>SUM(K3:K132)</f>
        <v>150872.4914</v>
      </c>
      <c r="L2" s="54">
        <f>SUM(L3:L132)</f>
        <v>8496217.9541000016</v>
      </c>
      <c r="M2" s="54">
        <f>SUM(M3:M132)</f>
        <v>8499150</v>
      </c>
      <c r="N2" s="54"/>
      <c r="O2" s="55"/>
      <c r="P2" s="56"/>
    </row>
    <row r="3" spans="1:16" x14ac:dyDescent="0.2">
      <c r="A3" s="165" t="s">
        <v>58</v>
      </c>
      <c r="B3" s="166" t="s">
        <v>59</v>
      </c>
      <c r="C3" s="166" t="s">
        <v>60</v>
      </c>
      <c r="D3" s="166" t="s">
        <v>61</v>
      </c>
      <c r="E3" s="167" t="s">
        <v>62</v>
      </c>
      <c r="F3" s="74">
        <f>SUM(G3:H3)</f>
        <v>44082.5</v>
      </c>
      <c r="G3" s="74">
        <v>38500</v>
      </c>
      <c r="H3" s="74">
        <f>G3*14.5%</f>
        <v>5582.5</v>
      </c>
      <c r="I3" s="165">
        <v>42474</v>
      </c>
      <c r="J3" s="165">
        <f>I3+90</f>
        <v>42564</v>
      </c>
      <c r="K3" s="74">
        <f>G3*2%</f>
        <v>770</v>
      </c>
      <c r="L3" s="74">
        <f>F3-K3</f>
        <v>43312.5</v>
      </c>
      <c r="M3" s="74">
        <v>43313</v>
      </c>
      <c r="N3" s="74"/>
      <c r="O3" s="10" t="s">
        <v>44</v>
      </c>
      <c r="P3" s="68">
        <v>532821</v>
      </c>
    </row>
    <row r="4" spans="1:16" x14ac:dyDescent="0.2">
      <c r="A4" s="165" t="s">
        <v>63</v>
      </c>
      <c r="B4" s="166" t="s">
        <v>64</v>
      </c>
      <c r="C4" s="166" t="s">
        <v>65</v>
      </c>
      <c r="D4" s="166" t="s">
        <v>61</v>
      </c>
      <c r="E4" s="166" t="s">
        <v>66</v>
      </c>
      <c r="F4" s="74">
        <f t="shared" ref="F4:F67" si="0">SUM(G4:H4)</f>
        <v>94897.600000000006</v>
      </c>
      <c r="G4" s="74">
        <v>82880</v>
      </c>
      <c r="H4" s="74">
        <f t="shared" ref="H4:H9" si="1">G4*14.5%</f>
        <v>12017.599999999999</v>
      </c>
      <c r="I4" s="165">
        <v>42517</v>
      </c>
      <c r="J4" s="165">
        <f t="shared" ref="J4:J67" si="2">I4+90</f>
        <v>42607</v>
      </c>
      <c r="K4" s="74">
        <f t="shared" ref="K4:K67" si="3">G4*2%</f>
        <v>1657.6000000000001</v>
      </c>
      <c r="L4" s="74">
        <f t="shared" ref="L4:L67" si="4">F4-K4</f>
        <v>93240</v>
      </c>
      <c r="M4" s="74">
        <v>93240</v>
      </c>
      <c r="N4" s="74"/>
      <c r="O4" s="10" t="s">
        <v>44</v>
      </c>
      <c r="P4" s="68">
        <v>532835</v>
      </c>
    </row>
    <row r="5" spans="1:16" x14ac:dyDescent="0.2">
      <c r="A5" s="165" t="s">
        <v>63</v>
      </c>
      <c r="B5" s="166" t="s">
        <v>67</v>
      </c>
      <c r="C5" s="166" t="s">
        <v>68</v>
      </c>
      <c r="D5" s="166" t="s">
        <v>61</v>
      </c>
      <c r="E5" s="166" t="s">
        <v>69</v>
      </c>
      <c r="F5" s="74">
        <f t="shared" si="0"/>
        <v>95264</v>
      </c>
      <c r="G5" s="74">
        <v>83200</v>
      </c>
      <c r="H5" s="74">
        <f t="shared" si="1"/>
        <v>12064</v>
      </c>
      <c r="I5" s="165">
        <v>42517</v>
      </c>
      <c r="J5" s="165">
        <f t="shared" si="2"/>
        <v>42607</v>
      </c>
      <c r="K5" s="74">
        <f t="shared" si="3"/>
        <v>1664</v>
      </c>
      <c r="L5" s="74">
        <f t="shared" si="4"/>
        <v>93600</v>
      </c>
      <c r="M5" s="74">
        <v>93600</v>
      </c>
      <c r="N5" s="74"/>
      <c r="O5" s="10" t="s">
        <v>44</v>
      </c>
      <c r="P5" s="68">
        <v>532835</v>
      </c>
    </row>
    <row r="6" spans="1:16" x14ac:dyDescent="0.2">
      <c r="A6" s="165" t="s">
        <v>70</v>
      </c>
      <c r="B6" s="166" t="s">
        <v>71</v>
      </c>
      <c r="C6" s="166" t="s">
        <v>72</v>
      </c>
      <c r="D6" s="166" t="s">
        <v>61</v>
      </c>
      <c r="E6" s="166" t="s">
        <v>73</v>
      </c>
      <c r="F6" s="74">
        <f t="shared" si="0"/>
        <v>16316.25</v>
      </c>
      <c r="G6" s="74">
        <v>14250</v>
      </c>
      <c r="H6" s="74">
        <f t="shared" si="1"/>
        <v>2066.25</v>
      </c>
      <c r="I6" s="165">
        <v>42516</v>
      </c>
      <c r="J6" s="165">
        <f t="shared" si="2"/>
        <v>42606</v>
      </c>
      <c r="K6" s="74">
        <f t="shared" si="3"/>
        <v>285</v>
      </c>
      <c r="L6" s="74">
        <f t="shared" si="4"/>
        <v>16031.25</v>
      </c>
      <c r="M6" s="74">
        <v>16031</v>
      </c>
      <c r="N6" s="74"/>
      <c r="O6" s="10" t="s">
        <v>44</v>
      </c>
      <c r="P6" s="182">
        <v>532844</v>
      </c>
    </row>
    <row r="7" spans="1:16" x14ac:dyDescent="0.2">
      <c r="A7" s="166" t="s">
        <v>74</v>
      </c>
      <c r="B7" s="166" t="s">
        <v>75</v>
      </c>
      <c r="C7" s="166" t="s">
        <v>76</v>
      </c>
      <c r="D7" s="166" t="s">
        <v>61</v>
      </c>
      <c r="E7" s="166" t="s">
        <v>77</v>
      </c>
      <c r="F7" s="74">
        <f t="shared" si="0"/>
        <v>54984.044999999998</v>
      </c>
      <c r="G7" s="74">
        <v>48021</v>
      </c>
      <c r="H7" s="74">
        <f t="shared" si="1"/>
        <v>6963.0449999999992</v>
      </c>
      <c r="I7" s="165">
        <v>42521</v>
      </c>
      <c r="J7" s="165">
        <f t="shared" si="2"/>
        <v>42611</v>
      </c>
      <c r="K7" s="74">
        <f t="shared" si="3"/>
        <v>960.42000000000007</v>
      </c>
      <c r="L7" s="74">
        <f t="shared" si="4"/>
        <v>54023.625</v>
      </c>
      <c r="M7" s="74">
        <v>54024</v>
      </c>
      <c r="N7" s="74"/>
      <c r="O7" s="10" t="s">
        <v>44</v>
      </c>
      <c r="P7" s="182">
        <v>354242</v>
      </c>
    </row>
    <row r="8" spans="1:16" x14ac:dyDescent="0.2">
      <c r="A8" s="166" t="s">
        <v>74</v>
      </c>
      <c r="B8" s="166" t="s">
        <v>78</v>
      </c>
      <c r="C8" s="166" t="s">
        <v>79</v>
      </c>
      <c r="D8" s="166" t="s">
        <v>80</v>
      </c>
      <c r="E8" s="166" t="s">
        <v>81</v>
      </c>
      <c r="F8" s="74">
        <f t="shared" si="0"/>
        <v>39460.135000000002</v>
      </c>
      <c r="G8" s="74">
        <v>34463</v>
      </c>
      <c r="H8" s="74">
        <f t="shared" si="1"/>
        <v>4997.1349999999993</v>
      </c>
      <c r="I8" s="165">
        <v>42521</v>
      </c>
      <c r="J8" s="165">
        <f t="shared" si="2"/>
        <v>42611</v>
      </c>
      <c r="K8" s="74">
        <f t="shared" si="3"/>
        <v>689.26</v>
      </c>
      <c r="L8" s="74">
        <f t="shared" si="4"/>
        <v>38770.875</v>
      </c>
      <c r="M8" s="74">
        <v>38771</v>
      </c>
      <c r="N8" s="74"/>
      <c r="O8" s="10" t="s">
        <v>44</v>
      </c>
      <c r="P8" s="182">
        <v>532844</v>
      </c>
    </row>
    <row r="9" spans="1:16" x14ac:dyDescent="0.2">
      <c r="A9" s="166" t="s">
        <v>74</v>
      </c>
      <c r="B9" s="166" t="s">
        <v>82</v>
      </c>
      <c r="C9" s="166" t="s">
        <v>83</v>
      </c>
      <c r="D9" s="166" t="s">
        <v>84</v>
      </c>
      <c r="E9" s="166" t="s">
        <v>85</v>
      </c>
      <c r="F9" s="74">
        <f t="shared" si="0"/>
        <v>17175</v>
      </c>
      <c r="G9" s="74">
        <v>15000</v>
      </c>
      <c r="H9" s="74">
        <f t="shared" si="1"/>
        <v>2175</v>
      </c>
      <c r="I9" s="165">
        <v>42521</v>
      </c>
      <c r="J9" s="165">
        <f t="shared" si="2"/>
        <v>42611</v>
      </c>
      <c r="K9" s="74">
        <f t="shared" si="3"/>
        <v>300</v>
      </c>
      <c r="L9" s="74">
        <f t="shared" si="4"/>
        <v>16875</v>
      </c>
      <c r="M9" s="74">
        <v>16875</v>
      </c>
      <c r="N9" s="74"/>
      <c r="O9" s="10" t="s">
        <v>44</v>
      </c>
      <c r="P9" s="182">
        <v>532873</v>
      </c>
    </row>
    <row r="10" spans="1:16" x14ac:dyDescent="0.2">
      <c r="A10" s="166" t="s">
        <v>86</v>
      </c>
      <c r="B10" s="166" t="s">
        <v>87</v>
      </c>
      <c r="C10" s="166" t="s">
        <v>88</v>
      </c>
      <c r="D10" s="166" t="s">
        <v>61</v>
      </c>
      <c r="E10" s="166" t="s">
        <v>89</v>
      </c>
      <c r="F10" s="74">
        <f t="shared" si="0"/>
        <v>4600</v>
      </c>
      <c r="G10" s="74">
        <f>50000/1000*80</f>
        <v>4000</v>
      </c>
      <c r="H10" s="74">
        <f>G10*15%</f>
        <v>600</v>
      </c>
      <c r="I10" s="165">
        <v>42551</v>
      </c>
      <c r="J10" s="165">
        <f t="shared" si="2"/>
        <v>42641</v>
      </c>
      <c r="K10" s="74">
        <f t="shared" si="3"/>
        <v>80</v>
      </c>
      <c r="L10" s="74">
        <f t="shared" si="4"/>
        <v>4520</v>
      </c>
      <c r="M10" s="74">
        <v>4520</v>
      </c>
      <c r="N10" s="74"/>
      <c r="O10" s="10" t="s">
        <v>44</v>
      </c>
      <c r="P10" s="182">
        <v>532844</v>
      </c>
    </row>
    <row r="11" spans="1:16" x14ac:dyDescent="0.2">
      <c r="A11" s="166" t="s">
        <v>86</v>
      </c>
      <c r="B11" s="166" t="s">
        <v>78</v>
      </c>
      <c r="C11" s="166" t="s">
        <v>79</v>
      </c>
      <c r="D11" s="166" t="s">
        <v>80</v>
      </c>
      <c r="E11" s="166" t="s">
        <v>90</v>
      </c>
      <c r="F11" s="74">
        <f t="shared" si="0"/>
        <v>50312.5</v>
      </c>
      <c r="G11" s="74">
        <f>17500*2.5</f>
        <v>43750</v>
      </c>
      <c r="H11" s="74">
        <f t="shared" ref="H11:H71" si="5">G11*15%</f>
        <v>6562.5</v>
      </c>
      <c r="I11" s="165">
        <v>42551</v>
      </c>
      <c r="J11" s="165">
        <f t="shared" si="2"/>
        <v>42641</v>
      </c>
      <c r="K11" s="74">
        <f t="shared" si="3"/>
        <v>875</v>
      </c>
      <c r="L11" s="74">
        <f t="shared" si="4"/>
        <v>49437.5</v>
      </c>
      <c r="M11" s="74">
        <v>49438</v>
      </c>
      <c r="N11" s="74"/>
      <c r="O11" s="10" t="s">
        <v>44</v>
      </c>
      <c r="P11" s="182">
        <v>532844</v>
      </c>
    </row>
    <row r="12" spans="1:16" x14ac:dyDescent="0.2">
      <c r="A12" s="166" t="s">
        <v>86</v>
      </c>
      <c r="B12" s="166" t="s">
        <v>75</v>
      </c>
      <c r="C12" s="166" t="s">
        <v>76</v>
      </c>
      <c r="D12" s="166" t="s">
        <v>61</v>
      </c>
      <c r="E12" s="166" t="s">
        <v>91</v>
      </c>
      <c r="F12" s="74">
        <f t="shared" si="0"/>
        <v>82775.850000000006</v>
      </c>
      <c r="G12" s="74">
        <f>719790/1000*100</f>
        <v>71979</v>
      </c>
      <c r="H12" s="74">
        <f t="shared" si="5"/>
        <v>10796.85</v>
      </c>
      <c r="I12" s="165">
        <v>42551</v>
      </c>
      <c r="J12" s="165">
        <f t="shared" si="2"/>
        <v>42641</v>
      </c>
      <c r="K12" s="74">
        <f t="shared" si="3"/>
        <v>1439.58</v>
      </c>
      <c r="L12" s="74">
        <f t="shared" si="4"/>
        <v>81336.27</v>
      </c>
      <c r="M12" s="74">
        <v>81336</v>
      </c>
      <c r="N12" s="74"/>
      <c r="O12" s="10" t="s">
        <v>44</v>
      </c>
      <c r="P12" s="182">
        <v>354242</v>
      </c>
    </row>
    <row r="13" spans="1:16" x14ac:dyDescent="0.2">
      <c r="A13" s="166" t="s">
        <v>92</v>
      </c>
      <c r="B13" s="166" t="s">
        <v>93</v>
      </c>
      <c r="C13" s="166" t="s">
        <v>94</v>
      </c>
      <c r="D13" s="166" t="s">
        <v>95</v>
      </c>
      <c r="E13" s="166" t="s">
        <v>96</v>
      </c>
      <c r="F13" s="74">
        <f t="shared" si="0"/>
        <v>69000</v>
      </c>
      <c r="G13" s="74">
        <f>20000*3</f>
        <v>60000</v>
      </c>
      <c r="H13" s="74">
        <f t="shared" si="5"/>
        <v>9000</v>
      </c>
      <c r="I13" s="165">
        <v>42559</v>
      </c>
      <c r="J13" s="165">
        <f t="shared" si="2"/>
        <v>42649</v>
      </c>
      <c r="K13" s="74">
        <f t="shared" si="3"/>
        <v>1200</v>
      </c>
      <c r="L13" s="74">
        <f t="shared" si="4"/>
        <v>67800</v>
      </c>
      <c r="M13" s="74">
        <v>67800</v>
      </c>
      <c r="N13" s="74"/>
      <c r="O13" s="10" t="s">
        <v>44</v>
      </c>
      <c r="P13" s="182">
        <v>532844</v>
      </c>
    </row>
    <row r="14" spans="1:16" x14ac:dyDescent="0.2">
      <c r="A14" s="166" t="s">
        <v>97</v>
      </c>
      <c r="B14" s="166" t="s">
        <v>98</v>
      </c>
      <c r="C14" s="166" t="s">
        <v>99</v>
      </c>
      <c r="D14" s="166" t="s">
        <v>61</v>
      </c>
      <c r="E14" s="166" t="s">
        <v>100</v>
      </c>
      <c r="F14" s="74">
        <f t="shared" si="0"/>
        <v>60375</v>
      </c>
      <c r="G14" s="74">
        <f>700000/1000*75</f>
        <v>52500</v>
      </c>
      <c r="H14" s="74">
        <f t="shared" si="5"/>
        <v>7875</v>
      </c>
      <c r="I14" s="165">
        <v>42571</v>
      </c>
      <c r="J14" s="165">
        <f t="shared" si="2"/>
        <v>42661</v>
      </c>
      <c r="K14" s="74">
        <f t="shared" si="3"/>
        <v>1050</v>
      </c>
      <c r="L14" s="74">
        <f t="shared" si="4"/>
        <v>59325</v>
      </c>
      <c r="M14" s="74">
        <v>59325</v>
      </c>
      <c r="N14" s="74"/>
      <c r="O14" s="10" t="s">
        <v>44</v>
      </c>
      <c r="P14" s="182">
        <v>532858</v>
      </c>
    </row>
    <row r="15" spans="1:16" x14ac:dyDescent="0.2">
      <c r="A15" s="166" t="s">
        <v>101</v>
      </c>
      <c r="B15" s="166" t="s">
        <v>102</v>
      </c>
      <c r="C15" s="166" t="s">
        <v>103</v>
      </c>
      <c r="D15" s="166" t="s">
        <v>61</v>
      </c>
      <c r="E15" s="166" t="s">
        <v>104</v>
      </c>
      <c r="F15" s="74">
        <f t="shared" si="0"/>
        <v>20700</v>
      </c>
      <c r="G15" s="74">
        <f>150000/1000*120</f>
        <v>18000</v>
      </c>
      <c r="H15" s="74">
        <f t="shared" si="5"/>
        <v>2700</v>
      </c>
      <c r="I15" s="165">
        <v>42581</v>
      </c>
      <c r="J15" s="165">
        <f t="shared" si="2"/>
        <v>42671</v>
      </c>
      <c r="K15" s="74">
        <f t="shared" si="3"/>
        <v>360</v>
      </c>
      <c r="L15" s="74">
        <f t="shared" si="4"/>
        <v>20340</v>
      </c>
      <c r="M15" s="74">
        <v>20340</v>
      </c>
      <c r="N15" s="74"/>
      <c r="O15" s="10" t="s">
        <v>44</v>
      </c>
      <c r="P15" s="182">
        <v>354242</v>
      </c>
    </row>
    <row r="16" spans="1:16" x14ac:dyDescent="0.2">
      <c r="A16" s="166" t="s">
        <v>105</v>
      </c>
      <c r="B16" s="166" t="s">
        <v>106</v>
      </c>
      <c r="C16" s="166" t="s">
        <v>107</v>
      </c>
      <c r="D16" s="166" t="s">
        <v>95</v>
      </c>
      <c r="E16" s="166" t="s">
        <v>108</v>
      </c>
      <c r="F16" s="74">
        <f t="shared" si="0"/>
        <v>8050</v>
      </c>
      <c r="G16" s="74">
        <f>2000*3.5</f>
        <v>7000</v>
      </c>
      <c r="H16" s="74">
        <f t="shared" si="5"/>
        <v>1050</v>
      </c>
      <c r="I16" s="165">
        <v>42550</v>
      </c>
      <c r="J16" s="165">
        <f t="shared" si="2"/>
        <v>42640</v>
      </c>
      <c r="K16" s="74">
        <f t="shared" si="3"/>
        <v>140</v>
      </c>
      <c r="L16" s="74">
        <f t="shared" si="4"/>
        <v>7910</v>
      </c>
      <c r="M16" s="74">
        <v>7910</v>
      </c>
      <c r="N16" s="74"/>
      <c r="O16" s="10" t="s">
        <v>44</v>
      </c>
      <c r="P16" s="182">
        <v>354242</v>
      </c>
    </row>
    <row r="17" spans="1:16" x14ac:dyDescent="0.2">
      <c r="A17" s="166" t="s">
        <v>366</v>
      </c>
      <c r="B17" s="166" t="s">
        <v>368</v>
      </c>
      <c r="C17" s="166" t="s">
        <v>367</v>
      </c>
      <c r="D17" s="166" t="s">
        <v>61</v>
      </c>
      <c r="E17" s="166" t="s">
        <v>109</v>
      </c>
      <c r="F17" s="74">
        <f t="shared" si="0"/>
        <v>13912.7</v>
      </c>
      <c r="G17" s="74">
        <v>12098</v>
      </c>
      <c r="H17" s="74">
        <f t="shared" si="5"/>
        <v>1814.7</v>
      </c>
      <c r="I17" s="244"/>
      <c r="J17" s="165"/>
      <c r="K17" s="74">
        <f t="shared" si="3"/>
        <v>241.96</v>
      </c>
      <c r="L17" s="74">
        <f t="shared" si="4"/>
        <v>13670.740000000002</v>
      </c>
      <c r="M17" s="74">
        <v>13671</v>
      </c>
      <c r="N17" s="74"/>
      <c r="O17" s="10" t="s">
        <v>44</v>
      </c>
      <c r="P17" s="182">
        <v>354303</v>
      </c>
    </row>
    <row r="18" spans="1:16" x14ac:dyDescent="0.2">
      <c r="A18" s="166" t="s">
        <v>381</v>
      </c>
      <c r="B18" s="166" t="s">
        <v>380</v>
      </c>
      <c r="C18" s="166" t="s">
        <v>379</v>
      </c>
      <c r="D18" s="166" t="s">
        <v>80</v>
      </c>
      <c r="E18" s="166" t="s">
        <v>110</v>
      </c>
      <c r="F18" s="74">
        <f t="shared" si="0"/>
        <v>28750</v>
      </c>
      <c r="G18" s="74">
        <f>10000*2.5</f>
        <v>25000</v>
      </c>
      <c r="H18" s="74">
        <f t="shared" si="5"/>
        <v>3750</v>
      </c>
      <c r="I18" s="165">
        <v>42613</v>
      </c>
      <c r="J18" s="165">
        <f t="shared" si="2"/>
        <v>42703</v>
      </c>
      <c r="K18" s="74">
        <f t="shared" si="3"/>
        <v>500</v>
      </c>
      <c r="L18" s="74">
        <f t="shared" si="4"/>
        <v>28250</v>
      </c>
      <c r="M18" s="74">
        <v>28250</v>
      </c>
      <c r="N18" s="74"/>
      <c r="O18" s="10" t="s">
        <v>44</v>
      </c>
      <c r="P18" s="182">
        <v>354255</v>
      </c>
    </row>
    <row r="19" spans="1:16" x14ac:dyDescent="0.2">
      <c r="A19" s="166" t="s">
        <v>381</v>
      </c>
      <c r="B19" s="166" t="s">
        <v>383</v>
      </c>
      <c r="C19" s="166" t="s">
        <v>382</v>
      </c>
      <c r="D19" s="166" t="s">
        <v>61</v>
      </c>
      <c r="E19" s="166" t="s">
        <v>111</v>
      </c>
      <c r="F19" s="74">
        <f t="shared" si="0"/>
        <v>80305.236000000004</v>
      </c>
      <c r="G19" s="74">
        <f>775896/1000*90</f>
        <v>69830.64</v>
      </c>
      <c r="H19" s="74">
        <f t="shared" si="5"/>
        <v>10474.596</v>
      </c>
      <c r="I19" s="165">
        <v>42613</v>
      </c>
      <c r="J19" s="165">
        <f t="shared" si="2"/>
        <v>42703</v>
      </c>
      <c r="K19" s="74">
        <f t="shared" si="3"/>
        <v>1396.6128000000001</v>
      </c>
      <c r="L19" s="74">
        <f t="shared" si="4"/>
        <v>78908.623200000002</v>
      </c>
      <c r="M19" s="74">
        <v>78909</v>
      </c>
      <c r="N19" s="74"/>
      <c r="O19" s="10" t="s">
        <v>44</v>
      </c>
      <c r="P19" s="182">
        <v>532873</v>
      </c>
    </row>
    <row r="20" spans="1:16" x14ac:dyDescent="0.2">
      <c r="A20" s="166" t="s">
        <v>403</v>
      </c>
      <c r="B20" s="166" t="s">
        <v>402</v>
      </c>
      <c r="C20" s="166" t="s">
        <v>401</v>
      </c>
      <c r="D20" s="166" t="s">
        <v>61</v>
      </c>
      <c r="E20" s="166" t="s">
        <v>112</v>
      </c>
      <c r="F20" s="74">
        <f t="shared" si="0"/>
        <v>31050</v>
      </c>
      <c r="G20" s="74">
        <f>300000/1000*90</f>
        <v>27000</v>
      </c>
      <c r="H20" s="74">
        <f t="shared" si="5"/>
        <v>4050</v>
      </c>
      <c r="I20" s="165">
        <v>42635</v>
      </c>
      <c r="J20" s="165">
        <f t="shared" si="2"/>
        <v>42725</v>
      </c>
      <c r="K20" s="74">
        <f t="shared" si="3"/>
        <v>540</v>
      </c>
      <c r="L20" s="74">
        <f t="shared" si="4"/>
        <v>30510</v>
      </c>
      <c r="M20" s="74">
        <v>30510</v>
      </c>
      <c r="N20" s="74"/>
      <c r="O20" s="10" t="s">
        <v>44</v>
      </c>
      <c r="P20" s="182">
        <v>354242</v>
      </c>
    </row>
    <row r="21" spans="1:16" x14ac:dyDescent="0.2">
      <c r="A21" s="165" t="s">
        <v>430</v>
      </c>
      <c r="B21" s="166" t="s">
        <v>429</v>
      </c>
      <c r="C21" s="166" t="s">
        <v>427</v>
      </c>
      <c r="D21" s="166" t="s">
        <v>428</v>
      </c>
      <c r="E21" s="166" t="s">
        <v>113</v>
      </c>
      <c r="F21" s="74">
        <f t="shared" si="0"/>
        <v>477566.25</v>
      </c>
      <c r="G21" s="74">
        <f>27685*15</f>
        <v>415275</v>
      </c>
      <c r="H21" s="74">
        <f t="shared" si="5"/>
        <v>62291.25</v>
      </c>
      <c r="I21" s="165">
        <v>42643</v>
      </c>
      <c r="J21" s="165">
        <f t="shared" si="2"/>
        <v>42733</v>
      </c>
      <c r="K21" s="74">
        <f t="shared" si="3"/>
        <v>8305.5</v>
      </c>
      <c r="L21" s="74">
        <f t="shared" si="4"/>
        <v>469260.75</v>
      </c>
      <c r="M21" s="74">
        <v>469261</v>
      </c>
      <c r="N21" s="74"/>
      <c r="O21" s="10" t="s">
        <v>44</v>
      </c>
      <c r="P21" s="182">
        <v>532873</v>
      </c>
    </row>
    <row r="22" spans="1:16" x14ac:dyDescent="0.2">
      <c r="A22" s="165" t="s">
        <v>430</v>
      </c>
      <c r="B22" s="166" t="s">
        <v>380</v>
      </c>
      <c r="C22" s="166" t="s">
        <v>379</v>
      </c>
      <c r="D22" s="166" t="s">
        <v>80</v>
      </c>
      <c r="E22" s="166" t="s">
        <v>114</v>
      </c>
      <c r="F22" s="74">
        <f t="shared" si="0"/>
        <v>46623.875</v>
      </c>
      <c r="G22" s="74">
        <f>16217*2.5</f>
        <v>40542.5</v>
      </c>
      <c r="H22" s="74">
        <f t="shared" si="5"/>
        <v>6081.375</v>
      </c>
      <c r="I22" s="165">
        <v>42643</v>
      </c>
      <c r="J22" s="165">
        <f t="shared" si="2"/>
        <v>42733</v>
      </c>
      <c r="K22" s="74">
        <f t="shared" si="3"/>
        <v>810.85</v>
      </c>
      <c r="L22" s="74">
        <f t="shared" si="4"/>
        <v>45813.025000000001</v>
      </c>
      <c r="M22" s="74">
        <v>45813</v>
      </c>
      <c r="N22" s="74"/>
      <c r="O22" s="10" t="s">
        <v>44</v>
      </c>
      <c r="P22" s="182">
        <v>354255</v>
      </c>
    </row>
    <row r="23" spans="1:16" x14ac:dyDescent="0.2">
      <c r="A23" s="165" t="s">
        <v>430</v>
      </c>
      <c r="B23" s="166" t="s">
        <v>383</v>
      </c>
      <c r="C23" s="166" t="s">
        <v>382</v>
      </c>
      <c r="D23" s="166" t="s">
        <v>61</v>
      </c>
      <c r="E23" s="166" t="s">
        <v>115</v>
      </c>
      <c r="F23" s="74">
        <f t="shared" si="0"/>
        <v>26367.970500000003</v>
      </c>
      <c r="G23" s="74">
        <f>254763/1000*90</f>
        <v>22928.670000000002</v>
      </c>
      <c r="H23" s="74">
        <f t="shared" si="5"/>
        <v>3439.3005000000003</v>
      </c>
      <c r="I23" s="165">
        <v>42643</v>
      </c>
      <c r="J23" s="165">
        <f t="shared" si="2"/>
        <v>42733</v>
      </c>
      <c r="K23" s="74">
        <f t="shared" si="3"/>
        <v>458.57340000000005</v>
      </c>
      <c r="L23" s="74">
        <f t="shared" si="4"/>
        <v>25909.397100000002</v>
      </c>
      <c r="M23" s="74">
        <v>25909</v>
      </c>
      <c r="N23" s="74"/>
      <c r="O23" s="10" t="s">
        <v>44</v>
      </c>
      <c r="P23" s="182">
        <v>354242</v>
      </c>
    </row>
    <row r="24" spans="1:16" x14ac:dyDescent="0.2">
      <c r="A24" s="165" t="s">
        <v>430</v>
      </c>
      <c r="B24" s="166" t="s">
        <v>436</v>
      </c>
      <c r="C24" s="166" t="s">
        <v>435</v>
      </c>
      <c r="D24" s="166" t="s">
        <v>61</v>
      </c>
      <c r="E24" s="166" t="s">
        <v>116</v>
      </c>
      <c r="F24" s="74">
        <f t="shared" si="0"/>
        <v>27580.887000000002</v>
      </c>
      <c r="G24" s="74">
        <f>266482/1000*90</f>
        <v>23983.38</v>
      </c>
      <c r="H24" s="74">
        <f t="shared" si="5"/>
        <v>3597.5070000000001</v>
      </c>
      <c r="I24" s="165">
        <v>42643</v>
      </c>
      <c r="J24" s="165">
        <f t="shared" si="2"/>
        <v>42733</v>
      </c>
      <c r="K24" s="74">
        <f t="shared" si="3"/>
        <v>479.66760000000005</v>
      </c>
      <c r="L24" s="74">
        <f t="shared" si="4"/>
        <v>27101.219400000002</v>
      </c>
      <c r="M24" s="74">
        <v>27101</v>
      </c>
      <c r="N24" s="74"/>
      <c r="O24" s="10" t="s">
        <v>44</v>
      </c>
      <c r="P24" s="182">
        <v>354255</v>
      </c>
    </row>
    <row r="25" spans="1:16" x14ac:dyDescent="0.2">
      <c r="A25" s="165" t="s">
        <v>430</v>
      </c>
      <c r="B25" s="166" t="s">
        <v>438</v>
      </c>
      <c r="C25" s="166" t="s">
        <v>103</v>
      </c>
      <c r="D25" s="166" t="s">
        <v>61</v>
      </c>
      <c r="E25" s="166" t="s">
        <v>117</v>
      </c>
      <c r="F25" s="74">
        <f t="shared" si="0"/>
        <v>21871.930499999999</v>
      </c>
      <c r="G25" s="74">
        <f>211323/1000*90</f>
        <v>19019.07</v>
      </c>
      <c r="H25" s="74">
        <f t="shared" si="5"/>
        <v>2852.8604999999998</v>
      </c>
      <c r="I25" s="165">
        <v>42643</v>
      </c>
      <c r="J25" s="165">
        <f t="shared" si="2"/>
        <v>42733</v>
      </c>
      <c r="K25" s="74">
        <f t="shared" si="3"/>
        <v>380.38139999999999</v>
      </c>
      <c r="L25" s="74">
        <f t="shared" si="4"/>
        <v>21491.5491</v>
      </c>
      <c r="M25" s="74">
        <v>21492</v>
      </c>
      <c r="N25" s="74"/>
      <c r="O25" s="10" t="s">
        <v>44</v>
      </c>
      <c r="P25" s="182">
        <v>354255</v>
      </c>
    </row>
    <row r="26" spans="1:16" x14ac:dyDescent="0.2">
      <c r="A26" s="166" t="s">
        <v>458</v>
      </c>
      <c r="B26" s="166" t="s">
        <v>463</v>
      </c>
      <c r="C26" s="166" t="s">
        <v>462</v>
      </c>
      <c r="D26" s="166" t="s">
        <v>95</v>
      </c>
      <c r="E26" s="166" t="s">
        <v>118</v>
      </c>
      <c r="F26" s="74">
        <f t="shared" si="0"/>
        <v>138000</v>
      </c>
      <c r="G26" s="74">
        <f>40000*3</f>
        <v>120000</v>
      </c>
      <c r="H26" s="74">
        <f t="shared" si="5"/>
        <v>18000</v>
      </c>
      <c r="I26" s="165">
        <v>42653</v>
      </c>
      <c r="J26" s="165">
        <f t="shared" si="2"/>
        <v>42743</v>
      </c>
      <c r="K26" s="74">
        <f t="shared" si="3"/>
        <v>2400</v>
      </c>
      <c r="L26" s="74">
        <f t="shared" si="4"/>
        <v>135600</v>
      </c>
      <c r="M26" s="74">
        <v>135600</v>
      </c>
      <c r="N26" s="74"/>
      <c r="O26" s="10" t="s">
        <v>44</v>
      </c>
      <c r="P26" s="182">
        <v>354242</v>
      </c>
    </row>
    <row r="27" spans="1:16" x14ac:dyDescent="0.2">
      <c r="A27" s="166" t="s">
        <v>477</v>
      </c>
      <c r="B27" s="166" t="s">
        <v>475</v>
      </c>
      <c r="C27" s="166" t="s">
        <v>476</v>
      </c>
      <c r="D27" s="166" t="s">
        <v>95</v>
      </c>
      <c r="E27" s="166" t="s">
        <v>407</v>
      </c>
      <c r="F27" s="74">
        <f t="shared" si="0"/>
        <v>41400</v>
      </c>
      <c r="G27" s="74">
        <f>12000*3</f>
        <v>36000</v>
      </c>
      <c r="H27" s="74">
        <f t="shared" si="5"/>
        <v>5400</v>
      </c>
      <c r="I27" s="165">
        <v>42664</v>
      </c>
      <c r="J27" s="165">
        <f t="shared" si="2"/>
        <v>42754</v>
      </c>
      <c r="K27" s="74">
        <f t="shared" si="3"/>
        <v>720</v>
      </c>
      <c r="L27" s="74">
        <f t="shared" si="4"/>
        <v>40680</v>
      </c>
      <c r="M27" s="74">
        <v>40680</v>
      </c>
      <c r="N27" s="74"/>
      <c r="O27" s="10" t="s">
        <v>44</v>
      </c>
      <c r="P27" s="182">
        <v>354255</v>
      </c>
    </row>
    <row r="28" spans="1:16" x14ac:dyDescent="0.2">
      <c r="A28" s="166" t="s">
        <v>477</v>
      </c>
      <c r="B28" s="166" t="s">
        <v>478</v>
      </c>
      <c r="C28" s="166" t="s">
        <v>435</v>
      </c>
      <c r="D28" s="166" t="s">
        <v>61</v>
      </c>
      <c r="E28" s="166" t="s">
        <v>408</v>
      </c>
      <c r="F28" s="74">
        <f t="shared" si="0"/>
        <v>267394.11300000001</v>
      </c>
      <c r="G28" s="74">
        <f>2583518/1000*90</f>
        <v>232516.62</v>
      </c>
      <c r="H28" s="74">
        <f t="shared" si="5"/>
        <v>34877.492999999995</v>
      </c>
      <c r="I28" s="165">
        <v>42657</v>
      </c>
      <c r="J28" s="165">
        <f t="shared" si="2"/>
        <v>42747</v>
      </c>
      <c r="K28" s="74">
        <f t="shared" si="3"/>
        <v>4650.3324000000002</v>
      </c>
      <c r="L28" s="74">
        <f t="shared" si="4"/>
        <v>262743.7806</v>
      </c>
      <c r="M28" s="74">
        <v>262744</v>
      </c>
      <c r="N28" s="74"/>
      <c r="O28" s="10" t="s">
        <v>44</v>
      </c>
      <c r="P28" s="182">
        <v>354262</v>
      </c>
    </row>
    <row r="29" spans="1:16" x14ac:dyDescent="0.2">
      <c r="A29" s="166" t="s">
        <v>482</v>
      </c>
      <c r="B29" s="166" t="s">
        <v>383</v>
      </c>
      <c r="C29" s="166" t="s">
        <v>382</v>
      </c>
      <c r="D29" s="166" t="s">
        <v>61</v>
      </c>
      <c r="E29" s="166" t="s">
        <v>409</v>
      </c>
      <c r="F29" s="74">
        <f t="shared" si="0"/>
        <v>27876.793500000003</v>
      </c>
      <c r="G29" s="74">
        <f>269341/1000*90</f>
        <v>24240.690000000002</v>
      </c>
      <c r="H29" s="74">
        <f t="shared" si="5"/>
        <v>3636.1035000000002</v>
      </c>
      <c r="I29" s="165">
        <v>42669</v>
      </c>
      <c r="J29" s="165">
        <f t="shared" si="2"/>
        <v>42759</v>
      </c>
      <c r="K29" s="74">
        <f t="shared" si="3"/>
        <v>484.81380000000007</v>
      </c>
      <c r="L29" s="74">
        <f t="shared" si="4"/>
        <v>27391.979700000004</v>
      </c>
      <c r="M29" s="74">
        <v>27392</v>
      </c>
      <c r="N29" s="74"/>
      <c r="O29" s="10" t="s">
        <v>44</v>
      </c>
      <c r="P29" s="182">
        <v>354255</v>
      </c>
    </row>
    <row r="30" spans="1:16" x14ac:dyDescent="0.2">
      <c r="A30" s="166" t="s">
        <v>482</v>
      </c>
      <c r="B30" s="166" t="s">
        <v>483</v>
      </c>
      <c r="C30" s="166" t="s">
        <v>484</v>
      </c>
      <c r="D30" s="166" t="s">
        <v>61</v>
      </c>
      <c r="E30" s="166" t="s">
        <v>410</v>
      </c>
      <c r="F30" s="74">
        <f t="shared" si="0"/>
        <v>62100</v>
      </c>
      <c r="G30" s="74">
        <f>450000/1000*120</f>
        <v>54000</v>
      </c>
      <c r="H30" s="74">
        <f t="shared" si="5"/>
        <v>8100</v>
      </c>
      <c r="I30" s="165">
        <v>42673</v>
      </c>
      <c r="J30" s="165">
        <f t="shared" si="2"/>
        <v>42763</v>
      </c>
      <c r="K30" s="74">
        <f t="shared" si="3"/>
        <v>1080</v>
      </c>
      <c r="L30" s="74">
        <f t="shared" si="4"/>
        <v>61020</v>
      </c>
      <c r="M30" s="74">
        <v>61020</v>
      </c>
      <c r="N30" s="74"/>
      <c r="O30" s="10" t="s">
        <v>44</v>
      </c>
      <c r="P30" s="182">
        <v>354255</v>
      </c>
    </row>
    <row r="31" spans="1:16" x14ac:dyDescent="0.2">
      <c r="A31" s="166" t="s">
        <v>482</v>
      </c>
      <c r="B31" s="166" t="s">
        <v>380</v>
      </c>
      <c r="C31" s="166" t="s">
        <v>379</v>
      </c>
      <c r="D31" s="166" t="s">
        <v>80</v>
      </c>
      <c r="E31" s="166" t="s">
        <v>411</v>
      </c>
      <c r="F31" s="74">
        <f t="shared" si="0"/>
        <v>40163.75</v>
      </c>
      <c r="G31" s="74">
        <f>13970*2.5</f>
        <v>34925</v>
      </c>
      <c r="H31" s="74">
        <f t="shared" si="5"/>
        <v>5238.75</v>
      </c>
      <c r="I31" s="165">
        <v>42673</v>
      </c>
      <c r="J31" s="165">
        <f t="shared" si="2"/>
        <v>42763</v>
      </c>
      <c r="K31" s="74">
        <f t="shared" si="3"/>
        <v>698.5</v>
      </c>
      <c r="L31" s="74">
        <f t="shared" si="4"/>
        <v>39465.25</v>
      </c>
      <c r="M31" s="74">
        <v>39465</v>
      </c>
      <c r="N31" s="74"/>
      <c r="O31" s="10" t="s">
        <v>44</v>
      </c>
      <c r="P31" s="182">
        <v>354255</v>
      </c>
    </row>
    <row r="32" spans="1:16" x14ac:dyDescent="0.2">
      <c r="A32" s="166" t="s">
        <v>514</v>
      </c>
      <c r="B32" s="166" t="s">
        <v>518</v>
      </c>
      <c r="C32" s="166" t="s">
        <v>519</v>
      </c>
      <c r="D32" s="166" t="s">
        <v>95</v>
      </c>
      <c r="E32" s="166" t="s">
        <v>412</v>
      </c>
      <c r="F32" s="74">
        <f t="shared" si="0"/>
        <v>11040</v>
      </c>
      <c r="G32" s="74">
        <v>9600</v>
      </c>
      <c r="H32" s="74">
        <f t="shared" si="5"/>
        <v>1440</v>
      </c>
      <c r="I32" s="165">
        <v>42677</v>
      </c>
      <c r="J32" s="165">
        <f t="shared" si="2"/>
        <v>42767</v>
      </c>
      <c r="K32" s="74">
        <f t="shared" si="3"/>
        <v>192</v>
      </c>
      <c r="L32" s="74">
        <f t="shared" si="4"/>
        <v>10848</v>
      </c>
      <c r="M32" s="74">
        <v>10848</v>
      </c>
      <c r="N32" s="74"/>
      <c r="O32" s="10" t="s">
        <v>44</v>
      </c>
      <c r="P32" s="182">
        <v>354255</v>
      </c>
    </row>
    <row r="33" spans="1:18" x14ac:dyDescent="0.2">
      <c r="A33" s="166" t="s">
        <v>514</v>
      </c>
      <c r="B33" s="166" t="s">
        <v>380</v>
      </c>
      <c r="C33" s="166" t="s">
        <v>379</v>
      </c>
      <c r="D33" s="166" t="s">
        <v>80</v>
      </c>
      <c r="E33" s="166" t="s">
        <v>413</v>
      </c>
      <c r="F33" s="74">
        <f t="shared" si="0"/>
        <v>17054.5</v>
      </c>
      <c r="G33" s="74">
        <v>14830</v>
      </c>
      <c r="H33" s="74">
        <f t="shared" si="5"/>
        <v>2224.5</v>
      </c>
      <c r="I33" s="165">
        <v>42698</v>
      </c>
      <c r="J33" s="165">
        <f t="shared" si="2"/>
        <v>42788</v>
      </c>
      <c r="K33" s="74">
        <f t="shared" si="3"/>
        <v>296.60000000000002</v>
      </c>
      <c r="L33" s="74">
        <f t="shared" si="4"/>
        <v>16757.900000000001</v>
      </c>
      <c r="M33" s="74">
        <v>16758</v>
      </c>
      <c r="N33" s="74"/>
      <c r="O33" s="10" t="s">
        <v>44</v>
      </c>
      <c r="P33" s="182">
        <v>354242</v>
      </c>
    </row>
    <row r="34" spans="1:18" x14ac:dyDescent="0.2">
      <c r="A34" s="166" t="s">
        <v>514</v>
      </c>
      <c r="B34" s="166" t="s">
        <v>520</v>
      </c>
      <c r="C34" s="166" t="s">
        <v>103</v>
      </c>
      <c r="D34" s="166" t="s">
        <v>61</v>
      </c>
      <c r="E34" s="166" t="s">
        <v>414</v>
      </c>
      <c r="F34" s="74">
        <f t="shared" si="0"/>
        <v>81628.149999999994</v>
      </c>
      <c r="G34" s="74">
        <v>70981</v>
      </c>
      <c r="H34" s="74">
        <f t="shared" si="5"/>
        <v>10647.15</v>
      </c>
      <c r="I34" s="165">
        <v>42694</v>
      </c>
      <c r="J34" s="165">
        <f t="shared" si="2"/>
        <v>42784</v>
      </c>
      <c r="K34" s="74">
        <f t="shared" si="3"/>
        <v>1419.6200000000001</v>
      </c>
      <c r="L34" s="74">
        <f t="shared" si="4"/>
        <v>80208.53</v>
      </c>
      <c r="M34" s="74">
        <v>80209</v>
      </c>
      <c r="N34" s="74"/>
      <c r="O34" s="10" t="s">
        <v>44</v>
      </c>
      <c r="P34" s="182">
        <v>354255</v>
      </c>
      <c r="R34" s="60"/>
    </row>
    <row r="35" spans="1:18" x14ac:dyDescent="0.2">
      <c r="A35" s="166" t="s">
        <v>530</v>
      </c>
      <c r="B35" s="166" t="s">
        <v>532</v>
      </c>
      <c r="C35" s="166" t="s">
        <v>533</v>
      </c>
      <c r="D35" s="166" t="s">
        <v>95</v>
      </c>
      <c r="E35" s="166" t="s">
        <v>415</v>
      </c>
      <c r="F35" s="74">
        <f t="shared" si="0"/>
        <v>58598.25</v>
      </c>
      <c r="G35" s="74">
        <v>50955</v>
      </c>
      <c r="H35" s="74">
        <f t="shared" si="5"/>
        <v>7643.25</v>
      </c>
      <c r="I35" s="165">
        <v>42704</v>
      </c>
      <c r="J35" s="165">
        <f t="shared" si="2"/>
        <v>42794</v>
      </c>
      <c r="K35" s="74">
        <f t="shared" si="3"/>
        <v>1019.1</v>
      </c>
      <c r="L35" s="74">
        <f t="shared" si="4"/>
        <v>57579.15</v>
      </c>
      <c r="M35" s="74">
        <v>57579</v>
      </c>
      <c r="N35" s="74"/>
      <c r="O35" s="10" t="s">
        <v>44</v>
      </c>
      <c r="P35" s="182">
        <v>354255</v>
      </c>
    </row>
    <row r="36" spans="1:18" x14ac:dyDescent="0.2">
      <c r="A36" s="166" t="s">
        <v>530</v>
      </c>
      <c r="B36" s="221" t="s">
        <v>534</v>
      </c>
      <c r="C36" s="166" t="s">
        <v>535</v>
      </c>
      <c r="D36" s="166" t="s">
        <v>61</v>
      </c>
      <c r="E36" s="166" t="s">
        <v>416</v>
      </c>
      <c r="F36" s="74">
        <f t="shared" si="0"/>
        <v>14269.2</v>
      </c>
      <c r="G36" s="74">
        <v>12408</v>
      </c>
      <c r="H36" s="74">
        <f t="shared" si="5"/>
        <v>1861.1999999999998</v>
      </c>
      <c r="I36" s="165">
        <v>42704</v>
      </c>
      <c r="J36" s="165">
        <f t="shared" si="2"/>
        <v>42794</v>
      </c>
      <c r="K36" s="74">
        <f t="shared" si="3"/>
        <v>248.16</v>
      </c>
      <c r="L36" s="74">
        <f t="shared" si="4"/>
        <v>14021.04</v>
      </c>
      <c r="M36" s="74">
        <v>14021</v>
      </c>
      <c r="N36" s="74"/>
      <c r="O36" s="10" t="s">
        <v>44</v>
      </c>
      <c r="P36" s="182">
        <v>354255</v>
      </c>
    </row>
    <row r="37" spans="1:18" x14ac:dyDescent="0.2">
      <c r="A37" s="166" t="s">
        <v>530</v>
      </c>
      <c r="B37" s="221" t="s">
        <v>536</v>
      </c>
      <c r="C37" s="221" t="s">
        <v>537</v>
      </c>
      <c r="D37" s="221" t="s">
        <v>95</v>
      </c>
      <c r="E37" s="166" t="s">
        <v>417</v>
      </c>
      <c r="F37" s="74">
        <f t="shared" si="0"/>
        <v>34396.5</v>
      </c>
      <c r="G37" s="222">
        <v>29910</v>
      </c>
      <c r="H37" s="74">
        <f t="shared" si="5"/>
        <v>4486.5</v>
      </c>
      <c r="I37" s="223">
        <v>42704</v>
      </c>
      <c r="J37" s="165">
        <f t="shared" si="2"/>
        <v>42794</v>
      </c>
      <c r="K37" s="74">
        <f t="shared" si="3"/>
        <v>598.20000000000005</v>
      </c>
      <c r="L37" s="74">
        <f t="shared" si="4"/>
        <v>33798.300000000003</v>
      </c>
      <c r="M37" s="222">
        <v>33798</v>
      </c>
      <c r="N37" s="222"/>
      <c r="O37" s="10" t="s">
        <v>44</v>
      </c>
      <c r="P37" s="182">
        <v>354255</v>
      </c>
    </row>
    <row r="38" spans="1:18" x14ac:dyDescent="0.2">
      <c r="A38" s="166" t="s">
        <v>550</v>
      </c>
      <c r="B38" s="221" t="s">
        <v>549</v>
      </c>
      <c r="C38" s="221" t="s">
        <v>548</v>
      </c>
      <c r="D38" s="221" t="s">
        <v>95</v>
      </c>
      <c r="E38" s="166" t="s">
        <v>418</v>
      </c>
      <c r="F38" s="74">
        <f t="shared" si="0"/>
        <v>123625</v>
      </c>
      <c r="G38" s="74">
        <v>107500</v>
      </c>
      <c r="H38" s="74">
        <f t="shared" si="5"/>
        <v>16125</v>
      </c>
      <c r="I38" s="165">
        <v>42711</v>
      </c>
      <c r="J38" s="165">
        <f t="shared" si="2"/>
        <v>42801</v>
      </c>
      <c r="K38" s="74">
        <f t="shared" si="3"/>
        <v>2150</v>
      </c>
      <c r="L38" s="74">
        <f t="shared" si="4"/>
        <v>121475</v>
      </c>
      <c r="M38" s="74">
        <v>121475</v>
      </c>
      <c r="N38" s="74"/>
      <c r="O38" s="10" t="s">
        <v>44</v>
      </c>
      <c r="P38" s="182">
        <v>354262</v>
      </c>
    </row>
    <row r="39" spans="1:18" x14ac:dyDescent="0.2">
      <c r="A39" s="166" t="s">
        <v>550</v>
      </c>
      <c r="B39" s="221" t="s">
        <v>536</v>
      </c>
      <c r="C39" s="221" t="s">
        <v>537</v>
      </c>
      <c r="D39" s="221" t="s">
        <v>95</v>
      </c>
      <c r="E39" s="166" t="s">
        <v>419</v>
      </c>
      <c r="F39" s="74">
        <f>SUM(G39:H39)</f>
        <v>41824.35</v>
      </c>
      <c r="G39" s="221">
        <v>36369</v>
      </c>
      <c r="H39" s="74">
        <f t="shared" si="5"/>
        <v>5455.3499999999995</v>
      </c>
      <c r="I39" s="165">
        <v>42714</v>
      </c>
      <c r="J39" s="165">
        <f t="shared" si="2"/>
        <v>42804</v>
      </c>
      <c r="K39" s="74">
        <f t="shared" si="3"/>
        <v>727.38</v>
      </c>
      <c r="L39" s="74">
        <f t="shared" si="4"/>
        <v>41096.97</v>
      </c>
      <c r="M39" s="74">
        <v>41097</v>
      </c>
      <c r="N39" s="74"/>
      <c r="O39" s="10" t="s">
        <v>44</v>
      </c>
      <c r="P39" s="182">
        <v>354262</v>
      </c>
    </row>
    <row r="40" spans="1:18" x14ac:dyDescent="0.2">
      <c r="A40" s="166" t="s">
        <v>596</v>
      </c>
      <c r="B40" s="221" t="s">
        <v>532</v>
      </c>
      <c r="C40" s="166" t="s">
        <v>581</v>
      </c>
      <c r="D40" s="166" t="s">
        <v>95</v>
      </c>
      <c r="E40" s="166" t="s">
        <v>420</v>
      </c>
      <c r="F40" s="74">
        <f t="shared" si="0"/>
        <v>27651.75</v>
      </c>
      <c r="G40" s="74">
        <v>24045</v>
      </c>
      <c r="H40" s="74">
        <f t="shared" si="5"/>
        <v>3606.75</v>
      </c>
      <c r="I40" s="165">
        <v>43086</v>
      </c>
      <c r="J40" s="165">
        <f t="shared" si="2"/>
        <v>43176</v>
      </c>
      <c r="K40" s="74">
        <f t="shared" si="3"/>
        <v>480.90000000000003</v>
      </c>
      <c r="L40" s="74">
        <f t="shared" si="4"/>
        <v>27170.85</v>
      </c>
      <c r="M40" s="74">
        <v>27171</v>
      </c>
      <c r="N40" s="74"/>
      <c r="O40" s="10" t="s">
        <v>44</v>
      </c>
      <c r="P40" s="182">
        <v>354262</v>
      </c>
    </row>
    <row r="41" spans="1:18" x14ac:dyDescent="0.2">
      <c r="A41" s="166" t="s">
        <v>597</v>
      </c>
      <c r="B41" s="221" t="s">
        <v>583</v>
      </c>
      <c r="C41" s="166" t="s">
        <v>582</v>
      </c>
      <c r="D41" s="166" t="s">
        <v>461</v>
      </c>
      <c r="E41" s="166" t="s">
        <v>421</v>
      </c>
      <c r="F41" s="74">
        <f t="shared" si="0"/>
        <v>86250</v>
      </c>
      <c r="G41" s="74">
        <v>75000</v>
      </c>
      <c r="H41" s="74">
        <f t="shared" si="5"/>
        <v>11250</v>
      </c>
      <c r="I41" s="165">
        <v>43099</v>
      </c>
      <c r="J41" s="165">
        <f t="shared" si="2"/>
        <v>43189</v>
      </c>
      <c r="K41" s="74">
        <f t="shared" si="3"/>
        <v>1500</v>
      </c>
      <c r="L41" s="74">
        <f t="shared" si="4"/>
        <v>84750</v>
      </c>
      <c r="M41" s="74">
        <v>84750</v>
      </c>
      <c r="N41" s="74"/>
      <c r="O41" s="10" t="s">
        <v>44</v>
      </c>
      <c r="P41" s="182">
        <v>354274</v>
      </c>
    </row>
    <row r="42" spans="1:18" x14ac:dyDescent="0.2">
      <c r="A42" s="166" t="s">
        <v>597</v>
      </c>
      <c r="B42" s="221" t="s">
        <v>584</v>
      </c>
      <c r="C42" s="166" t="s">
        <v>585</v>
      </c>
      <c r="D42" s="166" t="s">
        <v>95</v>
      </c>
      <c r="E42" s="166" t="s">
        <v>422</v>
      </c>
      <c r="F42" s="74">
        <f t="shared" si="0"/>
        <v>431250</v>
      </c>
      <c r="G42" s="74">
        <v>375000</v>
      </c>
      <c r="H42" s="74">
        <f t="shared" si="5"/>
        <v>56250</v>
      </c>
      <c r="I42" s="165">
        <v>43099</v>
      </c>
      <c r="J42" s="165">
        <f t="shared" si="2"/>
        <v>43189</v>
      </c>
      <c r="K42" s="74">
        <f t="shared" si="3"/>
        <v>7500</v>
      </c>
      <c r="L42" s="74">
        <f t="shared" si="4"/>
        <v>423750</v>
      </c>
      <c r="M42" s="74">
        <v>423750</v>
      </c>
      <c r="N42" s="74"/>
      <c r="O42" s="10" t="s">
        <v>44</v>
      </c>
      <c r="P42" s="182">
        <v>354274</v>
      </c>
    </row>
    <row r="43" spans="1:18" x14ac:dyDescent="0.2">
      <c r="A43" s="166" t="s">
        <v>597</v>
      </c>
      <c r="B43" s="166" t="s">
        <v>586</v>
      </c>
      <c r="C43" s="166" t="s">
        <v>587</v>
      </c>
      <c r="D43" s="166" t="s">
        <v>80</v>
      </c>
      <c r="E43" s="166" t="s">
        <v>423</v>
      </c>
      <c r="F43" s="74">
        <f t="shared" si="0"/>
        <v>19941</v>
      </c>
      <c r="G43" s="74">
        <v>17340</v>
      </c>
      <c r="H43" s="74">
        <f t="shared" si="5"/>
        <v>2601</v>
      </c>
      <c r="I43" s="165">
        <v>43099</v>
      </c>
      <c r="J43" s="165">
        <f t="shared" si="2"/>
        <v>43189</v>
      </c>
      <c r="K43" s="74">
        <f t="shared" si="3"/>
        <v>346.8</v>
      </c>
      <c r="L43" s="74">
        <f t="shared" si="4"/>
        <v>19594.2</v>
      </c>
      <c r="M43" s="74">
        <v>19594</v>
      </c>
      <c r="N43" s="74"/>
      <c r="O43" s="10" t="s">
        <v>44</v>
      </c>
      <c r="P43" s="182">
        <v>354274</v>
      </c>
    </row>
    <row r="44" spans="1:18" x14ac:dyDescent="0.2">
      <c r="A44" s="166" t="s">
        <v>597</v>
      </c>
      <c r="B44" s="166" t="s">
        <v>534</v>
      </c>
      <c r="C44" s="166" t="s">
        <v>535</v>
      </c>
      <c r="D44" s="166" t="s">
        <v>61</v>
      </c>
      <c r="E44" s="166" t="s">
        <v>424</v>
      </c>
      <c r="F44" s="74">
        <f t="shared" si="0"/>
        <v>26965.200000000001</v>
      </c>
      <c r="G44" s="74">
        <v>23448</v>
      </c>
      <c r="H44" s="74">
        <f t="shared" si="5"/>
        <v>3517.2</v>
      </c>
      <c r="I44" s="165">
        <v>43099</v>
      </c>
      <c r="J44" s="165">
        <f t="shared" si="2"/>
        <v>43189</v>
      </c>
      <c r="K44" s="74">
        <f t="shared" si="3"/>
        <v>468.96000000000004</v>
      </c>
      <c r="L44" s="74">
        <f t="shared" si="4"/>
        <v>26496.240000000002</v>
      </c>
      <c r="M44" s="74">
        <v>29426</v>
      </c>
      <c r="N44" s="74"/>
      <c r="O44" s="10" t="s">
        <v>44</v>
      </c>
      <c r="P44" s="182">
        <v>354303</v>
      </c>
    </row>
    <row r="45" spans="1:18" x14ac:dyDescent="0.2">
      <c r="A45" s="166" t="s">
        <v>597</v>
      </c>
      <c r="B45" s="166" t="s">
        <v>588</v>
      </c>
      <c r="C45" s="166" t="s">
        <v>589</v>
      </c>
      <c r="D45" s="166" t="s">
        <v>61</v>
      </c>
      <c r="E45" s="166" t="s">
        <v>425</v>
      </c>
      <c r="F45" s="74">
        <f t="shared" si="0"/>
        <v>194062.5</v>
      </c>
      <c r="G45" s="74">
        <v>168750</v>
      </c>
      <c r="H45" s="74">
        <f t="shared" si="5"/>
        <v>25312.5</v>
      </c>
      <c r="I45" s="165">
        <v>43099</v>
      </c>
      <c r="J45" s="165">
        <f t="shared" si="2"/>
        <v>43189</v>
      </c>
      <c r="K45" s="74">
        <f t="shared" si="3"/>
        <v>3375</v>
      </c>
      <c r="L45" s="74">
        <f t="shared" si="4"/>
        <v>190687.5</v>
      </c>
      <c r="M45" s="74">
        <v>190688</v>
      </c>
      <c r="N45" s="74"/>
      <c r="O45" s="10" t="s">
        <v>44</v>
      </c>
      <c r="P45" s="182">
        <v>354286</v>
      </c>
    </row>
    <row r="46" spans="1:18" x14ac:dyDescent="0.2">
      <c r="A46" s="166" t="s">
        <v>597</v>
      </c>
      <c r="B46" s="166" t="s">
        <v>590</v>
      </c>
      <c r="C46" s="166" t="s">
        <v>591</v>
      </c>
      <c r="D46" s="166" t="s">
        <v>80</v>
      </c>
      <c r="E46" s="166" t="s">
        <v>426</v>
      </c>
      <c r="F46" s="74">
        <f t="shared" si="0"/>
        <v>100625</v>
      </c>
      <c r="G46" s="74">
        <v>87500</v>
      </c>
      <c r="H46" s="74">
        <f t="shared" si="5"/>
        <v>13125</v>
      </c>
      <c r="I46" s="165">
        <v>43099</v>
      </c>
      <c r="J46" s="165">
        <f t="shared" si="2"/>
        <v>43189</v>
      </c>
      <c r="K46" s="74">
        <f t="shared" si="3"/>
        <v>1750</v>
      </c>
      <c r="L46" s="74">
        <f t="shared" si="4"/>
        <v>98875</v>
      </c>
      <c r="M46" s="74">
        <v>98875</v>
      </c>
      <c r="N46" s="74"/>
      <c r="O46" s="10" t="s">
        <v>44</v>
      </c>
      <c r="P46" s="182">
        <v>354292</v>
      </c>
    </row>
    <row r="47" spans="1:18" x14ac:dyDescent="0.2">
      <c r="A47" s="166" t="s">
        <v>598</v>
      </c>
      <c r="B47" s="166" t="s">
        <v>592</v>
      </c>
      <c r="C47" s="166" t="s">
        <v>593</v>
      </c>
      <c r="D47" s="166" t="s">
        <v>95</v>
      </c>
      <c r="E47" s="166" t="s">
        <v>561</v>
      </c>
      <c r="F47" s="74">
        <f t="shared" si="0"/>
        <v>100625</v>
      </c>
      <c r="G47" s="74">
        <v>87500</v>
      </c>
      <c r="H47" s="74">
        <f t="shared" si="5"/>
        <v>13125</v>
      </c>
      <c r="I47" s="165">
        <v>43085</v>
      </c>
      <c r="J47" s="165">
        <f t="shared" si="2"/>
        <v>43175</v>
      </c>
      <c r="K47" s="74">
        <f t="shared" si="3"/>
        <v>1750</v>
      </c>
      <c r="L47" s="74">
        <f t="shared" si="4"/>
        <v>98875</v>
      </c>
      <c r="M47" s="74">
        <v>98875</v>
      </c>
      <c r="N47" s="74"/>
      <c r="O47" s="10" t="s">
        <v>44</v>
      </c>
      <c r="P47" s="182">
        <v>354292</v>
      </c>
    </row>
    <row r="48" spans="1:18" x14ac:dyDescent="0.2">
      <c r="A48" s="166" t="s">
        <v>616</v>
      </c>
      <c r="B48" s="166" t="s">
        <v>614</v>
      </c>
      <c r="C48" s="166" t="s">
        <v>615</v>
      </c>
      <c r="D48" s="166" t="s">
        <v>95</v>
      </c>
      <c r="E48" s="166" t="s">
        <v>562</v>
      </c>
      <c r="F48" s="74">
        <f t="shared" si="0"/>
        <v>89700</v>
      </c>
      <c r="G48" s="74">
        <v>78000</v>
      </c>
      <c r="H48" s="74">
        <f t="shared" si="5"/>
        <v>11700</v>
      </c>
      <c r="I48" s="165">
        <v>42737</v>
      </c>
      <c r="J48" s="165">
        <f t="shared" si="2"/>
        <v>42827</v>
      </c>
      <c r="K48" s="74">
        <f t="shared" si="3"/>
        <v>1560</v>
      </c>
      <c r="L48" s="74">
        <f t="shared" si="4"/>
        <v>88140</v>
      </c>
      <c r="M48" s="74">
        <v>88140</v>
      </c>
      <c r="N48" s="74"/>
      <c r="O48" s="10" t="s">
        <v>44</v>
      </c>
      <c r="P48" s="182">
        <v>354286</v>
      </c>
    </row>
    <row r="49" spans="1:16" x14ac:dyDescent="0.2">
      <c r="A49" s="166" t="s">
        <v>613</v>
      </c>
      <c r="B49" s="167" t="s">
        <v>641</v>
      </c>
      <c r="C49" s="167" t="s">
        <v>644</v>
      </c>
      <c r="D49" s="166" t="s">
        <v>95</v>
      </c>
      <c r="E49" s="166" t="s">
        <v>563</v>
      </c>
      <c r="F49" s="74">
        <f t="shared" si="0"/>
        <v>330625</v>
      </c>
      <c r="G49" s="74">
        <v>287500</v>
      </c>
      <c r="H49" s="74">
        <f t="shared" si="5"/>
        <v>43125</v>
      </c>
      <c r="I49" s="165">
        <v>42744</v>
      </c>
      <c r="J49" s="165">
        <f t="shared" si="2"/>
        <v>42834</v>
      </c>
      <c r="K49" s="74">
        <f t="shared" si="3"/>
        <v>5750</v>
      </c>
      <c r="L49" s="74">
        <f t="shared" si="4"/>
        <v>324875</v>
      </c>
      <c r="M49" s="74">
        <v>324875</v>
      </c>
      <c r="N49" s="74"/>
      <c r="O49" s="10" t="s">
        <v>44</v>
      </c>
      <c r="P49" s="182">
        <v>354286</v>
      </c>
    </row>
    <row r="50" spans="1:16" x14ac:dyDescent="0.2">
      <c r="A50" s="166" t="s">
        <v>626</v>
      </c>
      <c r="B50" s="167" t="s">
        <v>642</v>
      </c>
      <c r="C50" s="167" t="s">
        <v>645</v>
      </c>
      <c r="D50" s="167" t="s">
        <v>61</v>
      </c>
      <c r="E50" s="166" t="s">
        <v>564</v>
      </c>
      <c r="F50" s="74">
        <f t="shared" si="0"/>
        <v>87400</v>
      </c>
      <c r="G50" s="74">
        <v>76000</v>
      </c>
      <c r="H50" s="74">
        <f t="shared" si="5"/>
        <v>11400</v>
      </c>
      <c r="I50" s="165">
        <v>42746</v>
      </c>
      <c r="J50" s="165">
        <f t="shared" si="2"/>
        <v>42836</v>
      </c>
      <c r="K50" s="74">
        <f t="shared" si="3"/>
        <v>1520</v>
      </c>
      <c r="L50" s="74">
        <f t="shared" si="4"/>
        <v>85880</v>
      </c>
      <c r="M50" s="74">
        <v>85880</v>
      </c>
      <c r="N50" s="74"/>
      <c r="O50" s="10" t="s">
        <v>44</v>
      </c>
      <c r="P50" s="182">
        <v>354274</v>
      </c>
    </row>
    <row r="51" spans="1:16" x14ac:dyDescent="0.2">
      <c r="A51" s="166" t="s">
        <v>626</v>
      </c>
      <c r="B51" s="167" t="s">
        <v>643</v>
      </c>
      <c r="C51" s="167" t="s">
        <v>646</v>
      </c>
      <c r="D51" s="167" t="s">
        <v>428</v>
      </c>
      <c r="E51" s="166" t="s">
        <v>565</v>
      </c>
      <c r="F51" s="74">
        <f t="shared" si="0"/>
        <v>28750</v>
      </c>
      <c r="G51" s="74">
        <v>25000</v>
      </c>
      <c r="H51" s="74">
        <f t="shared" si="5"/>
        <v>3750</v>
      </c>
      <c r="I51" s="165">
        <v>42746</v>
      </c>
      <c r="J51" s="165">
        <f t="shared" si="2"/>
        <v>42836</v>
      </c>
      <c r="K51" s="74">
        <f t="shared" si="3"/>
        <v>500</v>
      </c>
      <c r="L51" s="74">
        <f t="shared" si="4"/>
        <v>28250</v>
      </c>
      <c r="M51" s="74">
        <v>28250</v>
      </c>
      <c r="N51" s="74"/>
      <c r="O51" s="10" t="s">
        <v>44</v>
      </c>
      <c r="P51" s="182">
        <v>354274</v>
      </c>
    </row>
    <row r="52" spans="1:16" x14ac:dyDescent="0.2">
      <c r="A52" s="166" t="s">
        <v>648</v>
      </c>
      <c r="B52" s="167" t="s">
        <v>650</v>
      </c>
      <c r="C52" s="167" t="s">
        <v>589</v>
      </c>
      <c r="D52" s="167" t="s">
        <v>61</v>
      </c>
      <c r="E52" s="166" t="s">
        <v>566</v>
      </c>
      <c r="F52" s="74">
        <f t="shared" si="0"/>
        <v>39393.25</v>
      </c>
      <c r="G52" s="74">
        <v>34255</v>
      </c>
      <c r="H52" s="74">
        <f t="shared" si="5"/>
        <v>5138.25</v>
      </c>
      <c r="I52" s="165">
        <v>42754</v>
      </c>
      <c r="J52" s="165">
        <f t="shared" si="2"/>
        <v>42844</v>
      </c>
      <c r="K52" s="74">
        <f t="shared" si="3"/>
        <v>685.1</v>
      </c>
      <c r="L52" s="74">
        <f t="shared" si="4"/>
        <v>38708.15</v>
      </c>
      <c r="M52" s="74">
        <v>38708</v>
      </c>
      <c r="N52" s="74"/>
      <c r="O52" s="10" t="s">
        <v>44</v>
      </c>
      <c r="P52" s="182">
        <v>354286</v>
      </c>
    </row>
    <row r="53" spans="1:16" x14ac:dyDescent="0.2">
      <c r="A53" s="166" t="s">
        <v>639</v>
      </c>
      <c r="B53" s="167" t="s">
        <v>651</v>
      </c>
      <c r="C53" s="167" t="s">
        <v>647</v>
      </c>
      <c r="D53" s="166" t="s">
        <v>80</v>
      </c>
      <c r="E53" s="166" t="s">
        <v>567</v>
      </c>
      <c r="F53" s="74">
        <f t="shared" si="0"/>
        <v>40250</v>
      </c>
      <c r="G53" s="74">
        <v>35000</v>
      </c>
      <c r="H53" s="74">
        <f t="shared" si="5"/>
        <v>5250</v>
      </c>
      <c r="I53" s="165">
        <v>42748</v>
      </c>
      <c r="J53" s="165">
        <f t="shared" si="2"/>
        <v>42838</v>
      </c>
      <c r="K53" s="74">
        <f t="shared" si="3"/>
        <v>700</v>
      </c>
      <c r="L53" s="74">
        <f t="shared" si="4"/>
        <v>39550</v>
      </c>
      <c r="M53" s="74">
        <v>39550</v>
      </c>
      <c r="N53" s="74"/>
      <c r="O53" s="10" t="s">
        <v>44</v>
      </c>
      <c r="P53" s="182">
        <v>354286</v>
      </c>
    </row>
    <row r="54" spans="1:16" x14ac:dyDescent="0.2">
      <c r="A54" s="166" t="s">
        <v>656</v>
      </c>
      <c r="B54" s="166" t="s">
        <v>658</v>
      </c>
      <c r="C54" s="166" t="s">
        <v>657</v>
      </c>
      <c r="D54" s="167" t="s">
        <v>80</v>
      </c>
      <c r="E54" s="166" t="s">
        <v>568</v>
      </c>
      <c r="F54" s="74">
        <f t="shared" si="0"/>
        <v>169625</v>
      </c>
      <c r="G54" s="74">
        <v>147500</v>
      </c>
      <c r="H54" s="74">
        <f t="shared" si="5"/>
        <v>22125</v>
      </c>
      <c r="I54" s="165">
        <v>42766</v>
      </c>
      <c r="J54" s="165">
        <f t="shared" si="2"/>
        <v>42856</v>
      </c>
      <c r="K54" s="74">
        <f t="shared" si="3"/>
        <v>2950</v>
      </c>
      <c r="L54" s="74">
        <f t="shared" si="4"/>
        <v>166675</v>
      </c>
      <c r="M54" s="74">
        <v>166675</v>
      </c>
      <c r="N54" s="74"/>
      <c r="O54" s="10" t="s">
        <v>44</v>
      </c>
      <c r="P54" s="182">
        <v>354292</v>
      </c>
    </row>
    <row r="55" spans="1:16" x14ac:dyDescent="0.2">
      <c r="A55" s="166" t="s">
        <v>656</v>
      </c>
      <c r="B55" s="166" t="s">
        <v>660</v>
      </c>
      <c r="C55" s="166" t="s">
        <v>659</v>
      </c>
      <c r="D55" s="166" t="s">
        <v>95</v>
      </c>
      <c r="E55" s="166" t="s">
        <v>569</v>
      </c>
      <c r="F55" s="74">
        <f t="shared" si="0"/>
        <v>258750</v>
      </c>
      <c r="G55" s="74">
        <v>225000</v>
      </c>
      <c r="H55" s="74">
        <f t="shared" si="5"/>
        <v>33750</v>
      </c>
      <c r="I55" s="165">
        <v>42766</v>
      </c>
      <c r="J55" s="165">
        <f t="shared" si="2"/>
        <v>42856</v>
      </c>
      <c r="K55" s="74">
        <f t="shared" si="3"/>
        <v>4500</v>
      </c>
      <c r="L55" s="74">
        <f t="shared" si="4"/>
        <v>254250</v>
      </c>
      <c r="M55" s="74">
        <v>254250</v>
      </c>
      <c r="N55" s="74"/>
      <c r="O55" s="10" t="s">
        <v>44</v>
      </c>
      <c r="P55" s="182">
        <v>354274</v>
      </c>
    </row>
    <row r="56" spans="1:16" x14ac:dyDescent="0.2">
      <c r="A56" s="166" t="s">
        <v>656</v>
      </c>
      <c r="B56" s="166" t="s">
        <v>662</v>
      </c>
      <c r="C56" s="166" t="s">
        <v>663</v>
      </c>
      <c r="D56" s="166" t="s">
        <v>95</v>
      </c>
      <c r="E56" s="166" t="s">
        <v>570</v>
      </c>
      <c r="F56" s="74">
        <f t="shared" si="0"/>
        <v>138000</v>
      </c>
      <c r="G56" s="74">
        <v>120000</v>
      </c>
      <c r="H56" s="74">
        <f t="shared" si="5"/>
        <v>18000</v>
      </c>
      <c r="I56" s="165">
        <v>42766</v>
      </c>
      <c r="J56" s="165">
        <f t="shared" si="2"/>
        <v>42856</v>
      </c>
      <c r="K56" s="74">
        <f t="shared" si="3"/>
        <v>2400</v>
      </c>
      <c r="L56" s="74">
        <f t="shared" si="4"/>
        <v>135600</v>
      </c>
      <c r="M56" s="74">
        <v>135600</v>
      </c>
      <c r="N56" s="74"/>
      <c r="O56" s="10" t="s">
        <v>44</v>
      </c>
      <c r="P56" s="182">
        <v>354292</v>
      </c>
    </row>
    <row r="57" spans="1:16" x14ac:dyDescent="0.2">
      <c r="A57" s="166" t="s">
        <v>656</v>
      </c>
      <c r="B57" s="166" t="s">
        <v>664</v>
      </c>
      <c r="C57" s="166" t="s">
        <v>665</v>
      </c>
      <c r="D57" s="166" t="s">
        <v>80</v>
      </c>
      <c r="E57" s="166" t="s">
        <v>571</v>
      </c>
      <c r="F57" s="74">
        <f t="shared" si="0"/>
        <v>7187.5</v>
      </c>
      <c r="G57" s="74">
        <v>6250</v>
      </c>
      <c r="H57" s="74">
        <f t="shared" si="5"/>
        <v>937.5</v>
      </c>
      <c r="I57" s="165">
        <v>42766</v>
      </c>
      <c r="J57" s="165">
        <f t="shared" si="2"/>
        <v>42856</v>
      </c>
      <c r="K57" s="74">
        <f t="shared" si="3"/>
        <v>125</v>
      </c>
      <c r="L57" s="74">
        <f t="shared" si="4"/>
        <v>7062.5</v>
      </c>
      <c r="M57" s="74">
        <v>7063</v>
      </c>
      <c r="N57" s="74"/>
      <c r="O57" s="10" t="s">
        <v>44</v>
      </c>
      <c r="P57" s="182">
        <v>354292</v>
      </c>
    </row>
    <row r="58" spans="1:16" x14ac:dyDescent="0.2">
      <c r="A58" s="166" t="s">
        <v>656</v>
      </c>
      <c r="B58" s="166" t="s">
        <v>705</v>
      </c>
      <c r="C58" s="166" t="s">
        <v>703</v>
      </c>
      <c r="D58" s="166" t="s">
        <v>95</v>
      </c>
      <c r="E58" s="166" t="s">
        <v>572</v>
      </c>
      <c r="F58" s="74">
        <f t="shared" si="0"/>
        <v>13334.25</v>
      </c>
      <c r="G58" s="74">
        <v>11595</v>
      </c>
      <c r="H58" s="74">
        <f t="shared" si="5"/>
        <v>1739.25</v>
      </c>
      <c r="I58" s="165">
        <v>42766</v>
      </c>
      <c r="J58" s="165">
        <f t="shared" si="2"/>
        <v>42856</v>
      </c>
      <c r="K58" s="74">
        <f t="shared" si="3"/>
        <v>231.9</v>
      </c>
      <c r="L58" s="74">
        <f t="shared" si="4"/>
        <v>13102.35</v>
      </c>
      <c r="M58" s="74">
        <v>13102</v>
      </c>
      <c r="N58" s="74"/>
      <c r="O58" s="10" t="s">
        <v>44</v>
      </c>
      <c r="P58" s="182">
        <v>354303</v>
      </c>
    </row>
    <row r="59" spans="1:16" x14ac:dyDescent="0.2">
      <c r="A59" s="166" t="s">
        <v>656</v>
      </c>
      <c r="B59" s="166" t="s">
        <v>706</v>
      </c>
      <c r="C59" s="166" t="s">
        <v>704</v>
      </c>
      <c r="D59" s="166" t="s">
        <v>95</v>
      </c>
      <c r="E59" s="166" t="s">
        <v>573</v>
      </c>
      <c r="F59" s="74">
        <f t="shared" si="0"/>
        <v>4560.8999999999996</v>
      </c>
      <c r="G59" s="74">
        <v>3966</v>
      </c>
      <c r="H59" s="74">
        <f t="shared" si="5"/>
        <v>594.9</v>
      </c>
      <c r="I59" s="165">
        <v>42766</v>
      </c>
      <c r="J59" s="165">
        <f t="shared" si="2"/>
        <v>42856</v>
      </c>
      <c r="K59" s="74">
        <f t="shared" si="3"/>
        <v>79.320000000000007</v>
      </c>
      <c r="L59" s="74">
        <f t="shared" si="4"/>
        <v>4481.58</v>
      </c>
      <c r="M59" s="74">
        <v>4482</v>
      </c>
      <c r="N59" s="74"/>
      <c r="O59" s="10" t="s">
        <v>44</v>
      </c>
      <c r="P59" s="182">
        <v>354303</v>
      </c>
    </row>
    <row r="60" spans="1:16" x14ac:dyDescent="0.2">
      <c r="A60" s="166" t="s">
        <v>725</v>
      </c>
      <c r="B60" s="166" t="s">
        <v>723</v>
      </c>
      <c r="C60" s="166" t="s">
        <v>724</v>
      </c>
      <c r="D60" s="166" t="s">
        <v>61</v>
      </c>
      <c r="E60" s="166" t="s">
        <v>574</v>
      </c>
      <c r="F60" s="74">
        <f t="shared" si="0"/>
        <v>26792.7</v>
      </c>
      <c r="G60" s="74">
        <v>23298</v>
      </c>
      <c r="H60" s="74">
        <f t="shared" si="5"/>
        <v>3494.7</v>
      </c>
      <c r="I60" s="165">
        <v>42775</v>
      </c>
      <c r="J60" s="165">
        <f t="shared" si="2"/>
        <v>42865</v>
      </c>
      <c r="K60" s="74">
        <f t="shared" si="3"/>
        <v>465.96000000000004</v>
      </c>
      <c r="L60" s="74">
        <f t="shared" si="4"/>
        <v>26326.74</v>
      </c>
      <c r="M60" s="74">
        <v>26327</v>
      </c>
      <c r="N60" s="74"/>
      <c r="O60" s="10" t="s">
        <v>44</v>
      </c>
      <c r="P60" s="182">
        <v>354292</v>
      </c>
    </row>
    <row r="61" spans="1:16" x14ac:dyDescent="0.2">
      <c r="A61" s="166" t="s">
        <v>735</v>
      </c>
      <c r="B61" s="166" t="s">
        <v>706</v>
      </c>
      <c r="C61" s="166" t="s">
        <v>736</v>
      </c>
      <c r="D61" s="166" t="s">
        <v>95</v>
      </c>
      <c r="E61" s="166" t="s">
        <v>575</v>
      </c>
      <c r="F61" s="74">
        <f t="shared" si="0"/>
        <v>116189.1</v>
      </c>
      <c r="G61" s="74">
        <v>101034</v>
      </c>
      <c r="H61" s="74">
        <f t="shared" si="5"/>
        <v>15155.099999999999</v>
      </c>
      <c r="I61" s="165">
        <v>42793</v>
      </c>
      <c r="J61" s="165">
        <f t="shared" si="2"/>
        <v>42883</v>
      </c>
      <c r="K61" s="74">
        <f t="shared" si="3"/>
        <v>2020.68</v>
      </c>
      <c r="L61" s="74">
        <f t="shared" si="4"/>
        <v>114168.42000000001</v>
      </c>
      <c r="M61" s="74">
        <v>114168</v>
      </c>
      <c r="N61" s="74"/>
      <c r="O61" s="10" t="s">
        <v>44</v>
      </c>
      <c r="P61" s="182">
        <v>354303</v>
      </c>
    </row>
    <row r="62" spans="1:16" x14ac:dyDescent="0.2">
      <c r="A62" s="166" t="s">
        <v>751</v>
      </c>
      <c r="B62" s="166" t="s">
        <v>745</v>
      </c>
      <c r="C62" s="166" t="s">
        <v>746</v>
      </c>
      <c r="D62" s="166" t="s">
        <v>61</v>
      </c>
      <c r="E62" s="166" t="s">
        <v>576</v>
      </c>
      <c r="F62" s="74">
        <f t="shared" si="0"/>
        <v>27600</v>
      </c>
      <c r="G62" s="74">
        <v>24000</v>
      </c>
      <c r="H62" s="74">
        <f t="shared" si="5"/>
        <v>3600</v>
      </c>
      <c r="I62" s="165">
        <v>42793</v>
      </c>
      <c r="J62" s="165">
        <f t="shared" si="2"/>
        <v>42883</v>
      </c>
      <c r="K62" s="74">
        <f t="shared" si="3"/>
        <v>480</v>
      </c>
      <c r="L62" s="74">
        <f t="shared" si="4"/>
        <v>27120</v>
      </c>
      <c r="M62" s="74">
        <v>27120</v>
      </c>
      <c r="N62" s="74"/>
      <c r="O62" s="10" t="s">
        <v>44</v>
      </c>
      <c r="P62" s="182">
        <v>354303</v>
      </c>
    </row>
    <row r="63" spans="1:16" x14ac:dyDescent="0.2">
      <c r="A63" s="166" t="s">
        <v>751</v>
      </c>
      <c r="B63" s="166" t="s">
        <v>747</v>
      </c>
      <c r="C63" s="166" t="s">
        <v>748</v>
      </c>
      <c r="D63" s="166" t="s">
        <v>95</v>
      </c>
      <c r="E63" s="166" t="s">
        <v>577</v>
      </c>
      <c r="F63" s="74">
        <f t="shared" si="0"/>
        <v>166750</v>
      </c>
      <c r="G63" s="74">
        <v>145000</v>
      </c>
      <c r="H63" s="74">
        <f t="shared" si="5"/>
        <v>21750</v>
      </c>
      <c r="I63" s="165">
        <v>42793</v>
      </c>
      <c r="J63" s="165">
        <f t="shared" si="2"/>
        <v>42883</v>
      </c>
      <c r="K63" s="74">
        <f t="shared" si="3"/>
        <v>2900</v>
      </c>
      <c r="L63" s="74">
        <f t="shared" si="4"/>
        <v>163850</v>
      </c>
      <c r="M63" s="74">
        <v>163850</v>
      </c>
      <c r="N63" s="74"/>
      <c r="O63" s="10" t="s">
        <v>44</v>
      </c>
      <c r="P63" s="182">
        <v>354303</v>
      </c>
    </row>
    <row r="64" spans="1:16" x14ac:dyDescent="0.2">
      <c r="A64" s="166" t="s">
        <v>751</v>
      </c>
      <c r="B64" s="166" t="s">
        <v>749</v>
      </c>
      <c r="C64" s="166" t="s">
        <v>750</v>
      </c>
      <c r="D64" s="166" t="s">
        <v>95</v>
      </c>
      <c r="E64" s="166" t="s">
        <v>578</v>
      </c>
      <c r="F64" s="74">
        <f t="shared" si="0"/>
        <v>546250</v>
      </c>
      <c r="G64" s="74">
        <v>475000</v>
      </c>
      <c r="H64" s="74">
        <f t="shared" si="5"/>
        <v>71250</v>
      </c>
      <c r="I64" s="165">
        <v>42794</v>
      </c>
      <c r="J64" s="165">
        <f t="shared" si="2"/>
        <v>42884</v>
      </c>
      <c r="K64" s="74">
        <f t="shared" si="3"/>
        <v>9500</v>
      </c>
      <c r="L64" s="74">
        <f t="shared" si="4"/>
        <v>536750</v>
      </c>
      <c r="M64" s="74">
        <v>536750</v>
      </c>
      <c r="N64" s="74"/>
      <c r="O64" s="10" t="s">
        <v>44</v>
      </c>
      <c r="P64" s="182">
        <v>354303</v>
      </c>
    </row>
    <row r="65" spans="1:16" x14ac:dyDescent="0.2">
      <c r="A65" s="166" t="s">
        <v>751</v>
      </c>
      <c r="B65" s="166" t="s">
        <v>723</v>
      </c>
      <c r="C65" s="166" t="s">
        <v>724</v>
      </c>
      <c r="D65" s="166" t="s">
        <v>61</v>
      </c>
      <c r="E65" s="166" t="s">
        <v>579</v>
      </c>
      <c r="F65" s="74">
        <f t="shared" si="0"/>
        <v>7705</v>
      </c>
      <c r="G65" s="74">
        <v>6700</v>
      </c>
      <c r="H65" s="74">
        <f t="shared" si="5"/>
        <v>1005</v>
      </c>
      <c r="I65" s="165">
        <v>42794</v>
      </c>
      <c r="J65" s="165">
        <f t="shared" si="2"/>
        <v>42884</v>
      </c>
      <c r="K65" s="74">
        <f t="shared" si="3"/>
        <v>134</v>
      </c>
      <c r="L65" s="74">
        <f t="shared" si="4"/>
        <v>7571</v>
      </c>
      <c r="M65" s="74">
        <v>7571</v>
      </c>
      <c r="N65" s="74"/>
      <c r="O65" s="10" t="s">
        <v>44</v>
      </c>
      <c r="P65" s="182">
        <v>354303</v>
      </c>
    </row>
    <row r="66" spans="1:16" x14ac:dyDescent="0.2">
      <c r="A66" s="166" t="s">
        <v>751</v>
      </c>
      <c r="B66" s="166" t="s">
        <v>773</v>
      </c>
      <c r="C66" s="166" t="s">
        <v>772</v>
      </c>
      <c r="D66" s="166" t="s">
        <v>95</v>
      </c>
      <c r="E66" s="166" t="s">
        <v>580</v>
      </c>
      <c r="F66" s="74">
        <f t="shared" si="0"/>
        <v>57500</v>
      </c>
      <c r="G66" s="74">
        <v>50000</v>
      </c>
      <c r="H66" s="74">
        <f t="shared" si="5"/>
        <v>7500</v>
      </c>
      <c r="I66" s="165">
        <v>42794</v>
      </c>
      <c r="J66" s="165">
        <f t="shared" si="2"/>
        <v>42884</v>
      </c>
      <c r="K66" s="74">
        <f t="shared" si="3"/>
        <v>1000</v>
      </c>
      <c r="L66" s="74">
        <f t="shared" si="4"/>
        <v>56500</v>
      </c>
      <c r="M66" s="74">
        <v>56500</v>
      </c>
      <c r="N66" s="74"/>
      <c r="O66" s="10" t="s">
        <v>44</v>
      </c>
      <c r="P66" s="182">
        <v>354303</v>
      </c>
    </row>
    <row r="67" spans="1:16" x14ac:dyDescent="0.2">
      <c r="A67" s="166" t="s">
        <v>751</v>
      </c>
      <c r="B67" s="166" t="s">
        <v>705</v>
      </c>
      <c r="C67" s="166" t="s">
        <v>703</v>
      </c>
      <c r="D67" s="166" t="s">
        <v>95</v>
      </c>
      <c r="E67" s="166" t="s">
        <v>760</v>
      </c>
      <c r="F67" s="74">
        <f t="shared" si="0"/>
        <v>38415.75</v>
      </c>
      <c r="G67" s="74">
        <v>33405</v>
      </c>
      <c r="H67" s="74">
        <f t="shared" si="5"/>
        <v>5010.75</v>
      </c>
      <c r="I67" s="165">
        <v>42794</v>
      </c>
      <c r="J67" s="165">
        <f t="shared" si="2"/>
        <v>42884</v>
      </c>
      <c r="K67" s="74">
        <f t="shared" si="3"/>
        <v>668.1</v>
      </c>
      <c r="L67" s="74">
        <f t="shared" si="4"/>
        <v>37747.65</v>
      </c>
      <c r="M67" s="74">
        <v>37748</v>
      </c>
      <c r="N67" s="74"/>
      <c r="O67" s="10" t="s">
        <v>44</v>
      </c>
      <c r="P67" s="182">
        <v>354303</v>
      </c>
    </row>
    <row r="68" spans="1:16" x14ac:dyDescent="0.2">
      <c r="A68" s="167" t="s">
        <v>834</v>
      </c>
      <c r="B68" s="167" t="s">
        <v>814</v>
      </c>
      <c r="C68" s="167" t="s">
        <v>799</v>
      </c>
      <c r="D68" s="167" t="s">
        <v>461</v>
      </c>
      <c r="E68" s="167" t="s">
        <v>761</v>
      </c>
      <c r="F68" s="174">
        <f t="shared" ref="F68:F71" si="6">SUM(G68:H68)</f>
        <v>9826.75</v>
      </c>
      <c r="G68" s="174">
        <v>8545</v>
      </c>
      <c r="H68" s="174">
        <f t="shared" si="5"/>
        <v>1281.75</v>
      </c>
      <c r="I68" s="94">
        <v>42824</v>
      </c>
      <c r="J68" s="94">
        <f t="shared" ref="J68:J71" si="7">I68+90</f>
        <v>42914</v>
      </c>
      <c r="K68" s="174">
        <f t="shared" ref="K68:K71" si="8">G68*2%</f>
        <v>170.9</v>
      </c>
      <c r="L68" s="174">
        <f t="shared" ref="L68:L71" si="9">F68-K68</f>
        <v>9655.85</v>
      </c>
      <c r="M68" s="174">
        <v>9656</v>
      </c>
      <c r="N68" s="174"/>
      <c r="O68" s="10" t="s">
        <v>44</v>
      </c>
      <c r="P68" s="182">
        <v>354303</v>
      </c>
    </row>
    <row r="69" spans="1:16" x14ac:dyDescent="0.2">
      <c r="A69" s="167" t="s">
        <v>834</v>
      </c>
      <c r="B69" s="167" t="s">
        <v>815</v>
      </c>
      <c r="C69" s="167" t="s">
        <v>663</v>
      </c>
      <c r="D69" s="167" t="s">
        <v>95</v>
      </c>
      <c r="E69" s="167" t="s">
        <v>762</v>
      </c>
      <c r="F69" s="174">
        <f t="shared" si="6"/>
        <v>182850</v>
      </c>
      <c r="G69" s="174">
        <v>159000</v>
      </c>
      <c r="H69" s="174">
        <f t="shared" si="5"/>
        <v>23850</v>
      </c>
      <c r="I69" s="94">
        <v>42824</v>
      </c>
      <c r="J69" s="94">
        <f t="shared" si="7"/>
        <v>42914</v>
      </c>
      <c r="K69" s="174">
        <f t="shared" si="8"/>
        <v>3180</v>
      </c>
      <c r="L69" s="174">
        <f t="shared" si="9"/>
        <v>179670</v>
      </c>
      <c r="M69" s="174">
        <v>179670</v>
      </c>
      <c r="N69" s="174"/>
      <c r="O69" s="10" t="s">
        <v>44</v>
      </c>
      <c r="P69" s="182">
        <v>354303</v>
      </c>
    </row>
    <row r="70" spans="1:16" x14ac:dyDescent="0.2">
      <c r="A70" s="167" t="s">
        <v>834</v>
      </c>
      <c r="B70" s="167" t="s">
        <v>816</v>
      </c>
      <c r="C70" s="167" t="s">
        <v>663</v>
      </c>
      <c r="D70" s="167" t="s">
        <v>95</v>
      </c>
      <c r="E70" s="167" t="s">
        <v>763</v>
      </c>
      <c r="F70" s="174">
        <f t="shared" si="6"/>
        <v>289800</v>
      </c>
      <c r="G70" s="174">
        <v>252000</v>
      </c>
      <c r="H70" s="174">
        <f t="shared" si="5"/>
        <v>37800</v>
      </c>
      <c r="I70" s="94">
        <v>42824</v>
      </c>
      <c r="J70" s="94">
        <f t="shared" si="7"/>
        <v>42914</v>
      </c>
      <c r="K70" s="174">
        <f t="shared" si="8"/>
        <v>5040</v>
      </c>
      <c r="L70" s="174">
        <f t="shared" si="9"/>
        <v>284760</v>
      </c>
      <c r="M70" s="174">
        <v>284760</v>
      </c>
      <c r="N70" s="174"/>
      <c r="O70" s="10" t="s">
        <v>44</v>
      </c>
      <c r="P70" s="182">
        <v>354303</v>
      </c>
    </row>
    <row r="71" spans="1:16" x14ac:dyDescent="0.2">
      <c r="A71" s="167" t="s">
        <v>834</v>
      </c>
      <c r="B71" s="167" t="s">
        <v>817</v>
      </c>
      <c r="C71" s="167" t="s">
        <v>800</v>
      </c>
      <c r="D71" s="167" t="s">
        <v>61</v>
      </c>
      <c r="E71" s="167" t="s">
        <v>764</v>
      </c>
      <c r="F71" s="174">
        <f t="shared" si="6"/>
        <v>129375</v>
      </c>
      <c r="G71" s="174">
        <v>112500</v>
      </c>
      <c r="H71" s="174">
        <f t="shared" si="5"/>
        <v>16875</v>
      </c>
      <c r="I71" s="94">
        <v>42824</v>
      </c>
      <c r="J71" s="94">
        <f t="shared" si="7"/>
        <v>42914</v>
      </c>
      <c r="K71" s="174">
        <f t="shared" si="8"/>
        <v>2250</v>
      </c>
      <c r="L71" s="174">
        <f t="shared" si="9"/>
        <v>127125</v>
      </c>
      <c r="M71" s="174">
        <v>127125</v>
      </c>
      <c r="N71" s="174"/>
      <c r="O71" s="10" t="s">
        <v>44</v>
      </c>
      <c r="P71" s="182">
        <v>634356</v>
      </c>
    </row>
    <row r="72" spans="1:16" x14ac:dyDescent="0.2">
      <c r="A72" s="167" t="s">
        <v>834</v>
      </c>
      <c r="B72" s="167" t="s">
        <v>818</v>
      </c>
      <c r="C72" s="167" t="s">
        <v>801</v>
      </c>
      <c r="D72" s="167" t="s">
        <v>61</v>
      </c>
      <c r="E72" s="167" t="s">
        <v>783</v>
      </c>
      <c r="F72" s="174">
        <f t="shared" ref="F72:F79" si="10">SUM(G72:H72)</f>
        <v>57500</v>
      </c>
      <c r="G72" s="174">
        <v>50000</v>
      </c>
      <c r="H72" s="174">
        <f t="shared" ref="H72:H79" si="11">G72*15%</f>
        <v>7500</v>
      </c>
      <c r="I72" s="94">
        <v>42824</v>
      </c>
      <c r="J72" s="94">
        <f t="shared" ref="J72:J79" si="12">I72+90</f>
        <v>42914</v>
      </c>
      <c r="K72" s="174">
        <f t="shared" ref="K72:K79" si="13">G72*2%</f>
        <v>1000</v>
      </c>
      <c r="L72" s="174">
        <f t="shared" ref="L72:L79" si="14">F72-K72</f>
        <v>56500</v>
      </c>
      <c r="M72" s="174">
        <v>56500</v>
      </c>
      <c r="N72" s="174"/>
      <c r="O72" s="10" t="s">
        <v>44</v>
      </c>
      <c r="P72" s="182">
        <v>634356</v>
      </c>
    </row>
    <row r="73" spans="1:16" x14ac:dyDescent="0.2">
      <c r="A73" s="167" t="s">
        <v>834</v>
      </c>
      <c r="B73" s="167" t="s">
        <v>819</v>
      </c>
      <c r="C73" s="167" t="s">
        <v>802</v>
      </c>
      <c r="D73" s="167" t="s">
        <v>61</v>
      </c>
      <c r="E73" s="167" t="s">
        <v>784</v>
      </c>
      <c r="F73" s="174">
        <f t="shared" si="10"/>
        <v>107525</v>
      </c>
      <c r="G73" s="174">
        <v>93500</v>
      </c>
      <c r="H73" s="174">
        <f t="shared" si="11"/>
        <v>14025</v>
      </c>
      <c r="I73" s="94">
        <v>42824</v>
      </c>
      <c r="J73" s="94">
        <f t="shared" si="12"/>
        <v>42914</v>
      </c>
      <c r="K73" s="174">
        <f t="shared" si="13"/>
        <v>1870</v>
      </c>
      <c r="L73" s="174">
        <f t="shared" si="14"/>
        <v>105655</v>
      </c>
      <c r="M73" s="174">
        <v>105655</v>
      </c>
      <c r="N73" s="174"/>
      <c r="O73" s="10" t="s">
        <v>44</v>
      </c>
      <c r="P73" s="182">
        <v>354316</v>
      </c>
    </row>
    <row r="74" spans="1:16" x14ac:dyDescent="0.2">
      <c r="A74" s="167" t="s">
        <v>834</v>
      </c>
      <c r="B74" s="167" t="s">
        <v>820</v>
      </c>
      <c r="C74" s="167" t="s">
        <v>803</v>
      </c>
      <c r="D74" s="167" t="s">
        <v>95</v>
      </c>
      <c r="E74" s="167" t="s">
        <v>785</v>
      </c>
      <c r="F74" s="174">
        <f t="shared" si="10"/>
        <v>6886.2</v>
      </c>
      <c r="G74" s="174">
        <v>5988</v>
      </c>
      <c r="H74" s="174">
        <f t="shared" si="11"/>
        <v>898.19999999999993</v>
      </c>
      <c r="I74" s="94">
        <v>42824</v>
      </c>
      <c r="J74" s="94">
        <f t="shared" si="12"/>
        <v>42914</v>
      </c>
      <c r="K74" s="174">
        <f t="shared" si="13"/>
        <v>119.76</v>
      </c>
      <c r="L74" s="174">
        <f t="shared" si="14"/>
        <v>6766.44</v>
      </c>
      <c r="M74" s="174">
        <v>6766</v>
      </c>
      <c r="N74" s="174"/>
      <c r="O74" s="10" t="s">
        <v>44</v>
      </c>
      <c r="P74" s="182">
        <v>354303</v>
      </c>
    </row>
    <row r="75" spans="1:16" x14ac:dyDescent="0.2">
      <c r="A75" s="167" t="s">
        <v>834</v>
      </c>
      <c r="B75" s="167" t="s">
        <v>821</v>
      </c>
      <c r="C75" s="167" t="s">
        <v>804</v>
      </c>
      <c r="D75" s="167" t="s">
        <v>428</v>
      </c>
      <c r="E75" s="167" t="s">
        <v>786</v>
      </c>
      <c r="F75" s="174">
        <f t="shared" si="10"/>
        <v>359720</v>
      </c>
      <c r="G75" s="174">
        <v>312800</v>
      </c>
      <c r="H75" s="174">
        <f t="shared" si="11"/>
        <v>46920</v>
      </c>
      <c r="I75" s="94">
        <v>42824</v>
      </c>
      <c r="J75" s="94">
        <f t="shared" si="12"/>
        <v>42914</v>
      </c>
      <c r="K75" s="174">
        <f t="shared" si="13"/>
        <v>6256</v>
      </c>
      <c r="L75" s="174">
        <f t="shared" si="14"/>
        <v>353464</v>
      </c>
      <c r="M75" s="174">
        <v>353464</v>
      </c>
      <c r="N75" s="174"/>
      <c r="O75" s="10" t="s">
        <v>44</v>
      </c>
      <c r="P75" s="182">
        <v>354316</v>
      </c>
    </row>
    <row r="76" spans="1:16" x14ac:dyDescent="0.2">
      <c r="A76" s="167" t="s">
        <v>834</v>
      </c>
      <c r="B76" s="167" t="s">
        <v>822</v>
      </c>
      <c r="C76" s="167" t="s">
        <v>805</v>
      </c>
      <c r="D76" s="167" t="s">
        <v>95</v>
      </c>
      <c r="E76" s="167" t="s">
        <v>787</v>
      </c>
      <c r="F76" s="174">
        <f t="shared" si="10"/>
        <v>8838.9</v>
      </c>
      <c r="G76" s="174">
        <v>7686</v>
      </c>
      <c r="H76" s="174">
        <f t="shared" si="11"/>
        <v>1152.8999999999999</v>
      </c>
      <c r="I76" s="94">
        <v>42824</v>
      </c>
      <c r="J76" s="94">
        <f t="shared" si="12"/>
        <v>42914</v>
      </c>
      <c r="K76" s="174">
        <f t="shared" si="13"/>
        <v>153.72</v>
      </c>
      <c r="L76" s="174">
        <f t="shared" si="14"/>
        <v>8685.18</v>
      </c>
      <c r="M76" s="174">
        <v>8685</v>
      </c>
      <c r="N76" s="174"/>
      <c r="O76" s="10" t="s">
        <v>44</v>
      </c>
      <c r="P76" s="182">
        <v>354303</v>
      </c>
    </row>
    <row r="77" spans="1:16" x14ac:dyDescent="0.2">
      <c r="A77" s="167" t="s">
        <v>834</v>
      </c>
      <c r="B77" s="167" t="s">
        <v>823</v>
      </c>
      <c r="C77" s="167" t="s">
        <v>806</v>
      </c>
      <c r="D77" s="167" t="s">
        <v>95</v>
      </c>
      <c r="E77" s="167" t="s">
        <v>788</v>
      </c>
      <c r="F77" s="174">
        <f t="shared" si="10"/>
        <v>17250</v>
      </c>
      <c r="G77" s="174">
        <v>15000</v>
      </c>
      <c r="H77" s="174">
        <f t="shared" si="11"/>
        <v>2250</v>
      </c>
      <c r="I77" s="94">
        <v>42824</v>
      </c>
      <c r="J77" s="94">
        <f t="shared" si="12"/>
        <v>42914</v>
      </c>
      <c r="K77" s="174">
        <f t="shared" si="13"/>
        <v>300</v>
      </c>
      <c r="L77" s="174">
        <f t="shared" si="14"/>
        <v>16950</v>
      </c>
      <c r="M77" s="174">
        <v>16950</v>
      </c>
      <c r="N77" s="174"/>
      <c r="O77" s="10" t="s">
        <v>44</v>
      </c>
      <c r="P77" s="182">
        <v>354316</v>
      </c>
    </row>
    <row r="78" spans="1:16" x14ac:dyDescent="0.2">
      <c r="A78" s="167" t="s">
        <v>834</v>
      </c>
      <c r="B78" s="167" t="s">
        <v>824</v>
      </c>
      <c r="C78" s="167" t="s">
        <v>807</v>
      </c>
      <c r="D78" s="167" t="s">
        <v>95</v>
      </c>
      <c r="E78" s="167" t="s">
        <v>789</v>
      </c>
      <c r="F78" s="174">
        <f t="shared" si="10"/>
        <v>17250</v>
      </c>
      <c r="G78" s="174">
        <v>15000</v>
      </c>
      <c r="H78" s="174">
        <f t="shared" si="11"/>
        <v>2250</v>
      </c>
      <c r="I78" s="94">
        <v>42824</v>
      </c>
      <c r="J78" s="94">
        <f t="shared" si="12"/>
        <v>42914</v>
      </c>
      <c r="K78" s="174">
        <f t="shared" si="13"/>
        <v>300</v>
      </c>
      <c r="L78" s="174">
        <f t="shared" si="14"/>
        <v>16950</v>
      </c>
      <c r="M78" s="174">
        <v>16950</v>
      </c>
      <c r="N78" s="174"/>
      <c r="O78" s="10" t="s">
        <v>44</v>
      </c>
      <c r="P78" s="182">
        <v>354316</v>
      </c>
    </row>
    <row r="79" spans="1:16" x14ac:dyDescent="0.2">
      <c r="A79" s="167" t="s">
        <v>834</v>
      </c>
      <c r="B79" s="167" t="s">
        <v>825</v>
      </c>
      <c r="C79" s="167" t="s">
        <v>808</v>
      </c>
      <c r="D79" s="167" t="s">
        <v>95</v>
      </c>
      <c r="E79" s="167" t="s">
        <v>790</v>
      </c>
      <c r="F79" s="174">
        <f t="shared" si="10"/>
        <v>17250</v>
      </c>
      <c r="G79" s="174">
        <v>15000</v>
      </c>
      <c r="H79" s="174">
        <f t="shared" si="11"/>
        <v>2250</v>
      </c>
      <c r="I79" s="94">
        <v>42824</v>
      </c>
      <c r="J79" s="94">
        <f t="shared" si="12"/>
        <v>42914</v>
      </c>
      <c r="K79" s="174">
        <f t="shared" si="13"/>
        <v>300</v>
      </c>
      <c r="L79" s="174">
        <f t="shared" si="14"/>
        <v>16950</v>
      </c>
      <c r="M79" s="174">
        <v>16950</v>
      </c>
      <c r="N79" s="174"/>
      <c r="O79" s="10" t="s">
        <v>44</v>
      </c>
      <c r="P79" s="182">
        <v>354316</v>
      </c>
    </row>
    <row r="80" spans="1:16" x14ac:dyDescent="0.2">
      <c r="A80" s="167" t="s">
        <v>834</v>
      </c>
      <c r="B80" s="167" t="s">
        <v>827</v>
      </c>
      <c r="C80" s="167" t="s">
        <v>826</v>
      </c>
      <c r="D80" s="167" t="s">
        <v>95</v>
      </c>
      <c r="E80" s="167" t="s">
        <v>791</v>
      </c>
      <c r="F80" s="174">
        <f t="shared" ref="F80:F87" si="15">SUM(G80:H80)</f>
        <v>10350</v>
      </c>
      <c r="G80" s="174">
        <v>9000</v>
      </c>
      <c r="H80" s="174">
        <f t="shared" ref="H80:H87" si="16">G80*15%</f>
        <v>1350</v>
      </c>
      <c r="I80" s="94">
        <v>42824</v>
      </c>
      <c r="J80" s="94">
        <f t="shared" ref="J80:J87" si="17">I80+90</f>
        <v>42914</v>
      </c>
      <c r="K80" s="174">
        <f t="shared" ref="K80:K87" si="18">G80*2%</f>
        <v>180</v>
      </c>
      <c r="L80" s="174">
        <f t="shared" ref="L80:L87" si="19">F80-K80</f>
        <v>10170</v>
      </c>
      <c r="M80" s="174">
        <v>10170</v>
      </c>
      <c r="N80" s="174"/>
      <c r="O80" s="10" t="s">
        <v>44</v>
      </c>
      <c r="P80" s="182">
        <v>354316</v>
      </c>
    </row>
    <row r="81" spans="1:16" x14ac:dyDescent="0.2">
      <c r="A81" s="167" t="s">
        <v>834</v>
      </c>
      <c r="B81" s="167" t="s">
        <v>828</v>
      </c>
      <c r="C81" s="167" t="s">
        <v>809</v>
      </c>
      <c r="D81" s="167" t="s">
        <v>428</v>
      </c>
      <c r="E81" s="167" t="s">
        <v>792</v>
      </c>
      <c r="F81" s="174">
        <f t="shared" si="15"/>
        <v>479938.7</v>
      </c>
      <c r="G81" s="174">
        <v>417338</v>
      </c>
      <c r="H81" s="174">
        <f t="shared" si="16"/>
        <v>62600.7</v>
      </c>
      <c r="I81" s="94">
        <v>42824</v>
      </c>
      <c r="J81" s="94">
        <f t="shared" si="17"/>
        <v>42914</v>
      </c>
      <c r="K81" s="174">
        <f t="shared" si="18"/>
        <v>8346.76</v>
      </c>
      <c r="L81" s="174">
        <f t="shared" si="19"/>
        <v>471591.94</v>
      </c>
      <c r="M81" s="174">
        <v>471592</v>
      </c>
      <c r="N81" s="174"/>
      <c r="O81" s="10" t="s">
        <v>44</v>
      </c>
      <c r="P81" s="182">
        <v>354316</v>
      </c>
    </row>
    <row r="82" spans="1:16" x14ac:dyDescent="0.2">
      <c r="A82" s="167" t="s">
        <v>834</v>
      </c>
      <c r="B82" s="167" t="s">
        <v>829</v>
      </c>
      <c r="C82" s="167" t="s">
        <v>809</v>
      </c>
      <c r="D82" s="167" t="s">
        <v>428</v>
      </c>
      <c r="E82" s="167" t="s">
        <v>793</v>
      </c>
      <c r="F82" s="174">
        <f t="shared" si="15"/>
        <v>591419.69999999995</v>
      </c>
      <c r="G82" s="174">
        <v>514278</v>
      </c>
      <c r="H82" s="174">
        <f t="shared" si="16"/>
        <v>77141.7</v>
      </c>
      <c r="I82" s="94">
        <v>42824</v>
      </c>
      <c r="J82" s="94">
        <f t="shared" si="17"/>
        <v>42914</v>
      </c>
      <c r="K82" s="174">
        <f t="shared" si="18"/>
        <v>10285.56</v>
      </c>
      <c r="L82" s="174">
        <f t="shared" si="19"/>
        <v>581134.1399999999</v>
      </c>
      <c r="M82" s="167">
        <v>581134</v>
      </c>
      <c r="N82" s="167"/>
      <c r="O82" s="10" t="s">
        <v>44</v>
      </c>
      <c r="P82" s="182">
        <v>354316</v>
      </c>
    </row>
    <row r="83" spans="1:16" x14ac:dyDescent="0.2">
      <c r="A83" s="167" t="s">
        <v>834</v>
      </c>
      <c r="B83" s="167" t="s">
        <v>830</v>
      </c>
      <c r="C83" s="167" t="s">
        <v>810</v>
      </c>
      <c r="D83" s="167" t="s">
        <v>61</v>
      </c>
      <c r="E83" s="167" t="s">
        <v>794</v>
      </c>
      <c r="F83" s="174">
        <f t="shared" si="15"/>
        <v>134550</v>
      </c>
      <c r="G83" s="174">
        <v>117000</v>
      </c>
      <c r="H83" s="174">
        <f t="shared" si="16"/>
        <v>17550</v>
      </c>
      <c r="I83" s="94">
        <v>42824</v>
      </c>
      <c r="J83" s="94">
        <f t="shared" si="17"/>
        <v>42914</v>
      </c>
      <c r="K83" s="174">
        <f t="shared" si="18"/>
        <v>2340</v>
      </c>
      <c r="L83" s="174">
        <f t="shared" si="19"/>
        <v>132210</v>
      </c>
      <c r="M83" s="167">
        <v>132210</v>
      </c>
      <c r="N83" s="167"/>
      <c r="O83" s="10" t="s">
        <v>44</v>
      </c>
      <c r="P83" s="182">
        <v>634356</v>
      </c>
    </row>
    <row r="84" spans="1:16" x14ac:dyDescent="0.2">
      <c r="A84" s="167" t="s">
        <v>834</v>
      </c>
      <c r="B84" s="167" t="s">
        <v>831</v>
      </c>
      <c r="C84" s="167" t="s">
        <v>811</v>
      </c>
      <c r="D84" s="167" t="s">
        <v>95</v>
      </c>
      <c r="E84" s="167" t="s">
        <v>795</v>
      </c>
      <c r="F84" s="174">
        <f t="shared" si="15"/>
        <v>201250</v>
      </c>
      <c r="G84" s="174">
        <v>175000</v>
      </c>
      <c r="H84" s="174">
        <f t="shared" si="16"/>
        <v>26250</v>
      </c>
      <c r="I84" s="94">
        <v>42824</v>
      </c>
      <c r="J84" s="94">
        <f t="shared" si="17"/>
        <v>42914</v>
      </c>
      <c r="K84" s="174">
        <f t="shared" si="18"/>
        <v>3500</v>
      </c>
      <c r="L84" s="174">
        <f t="shared" si="19"/>
        <v>197750</v>
      </c>
      <c r="M84" s="167">
        <v>197750</v>
      </c>
      <c r="N84" s="167"/>
      <c r="O84" s="10" t="s">
        <v>44</v>
      </c>
      <c r="P84" s="182">
        <v>634356</v>
      </c>
    </row>
    <row r="85" spans="1:16" x14ac:dyDescent="0.2">
      <c r="A85" s="167" t="s">
        <v>834</v>
      </c>
      <c r="B85" s="167" t="s">
        <v>831</v>
      </c>
      <c r="C85" s="167" t="s">
        <v>812</v>
      </c>
      <c r="D85" s="167" t="s">
        <v>95</v>
      </c>
      <c r="E85" s="167" t="s">
        <v>796</v>
      </c>
      <c r="F85" s="174">
        <f t="shared" si="15"/>
        <v>201250</v>
      </c>
      <c r="G85" s="174">
        <v>175000</v>
      </c>
      <c r="H85" s="174">
        <f t="shared" si="16"/>
        <v>26250</v>
      </c>
      <c r="I85" s="94">
        <v>42824</v>
      </c>
      <c r="J85" s="94">
        <f t="shared" si="17"/>
        <v>42914</v>
      </c>
      <c r="K85" s="174">
        <f t="shared" si="18"/>
        <v>3500</v>
      </c>
      <c r="L85" s="174">
        <f t="shared" si="19"/>
        <v>197750</v>
      </c>
      <c r="M85" s="167">
        <v>197750</v>
      </c>
      <c r="N85" s="167"/>
      <c r="O85" s="10" t="s">
        <v>44</v>
      </c>
      <c r="P85" s="182">
        <v>634356</v>
      </c>
    </row>
    <row r="86" spans="1:16" x14ac:dyDescent="0.2">
      <c r="A86" s="167" t="s">
        <v>834</v>
      </c>
      <c r="B86" s="167" t="s">
        <v>832</v>
      </c>
      <c r="C86" s="167" t="s">
        <v>813</v>
      </c>
      <c r="D86" s="167" t="s">
        <v>95</v>
      </c>
      <c r="E86" s="167" t="s">
        <v>797</v>
      </c>
      <c r="F86" s="174">
        <f t="shared" si="15"/>
        <v>201250</v>
      </c>
      <c r="G86" s="174">
        <v>175000</v>
      </c>
      <c r="H86" s="174">
        <f t="shared" si="16"/>
        <v>26250</v>
      </c>
      <c r="I86" s="94">
        <v>42824</v>
      </c>
      <c r="J86" s="94">
        <f t="shared" si="17"/>
        <v>42914</v>
      </c>
      <c r="K86" s="174">
        <f t="shared" si="18"/>
        <v>3500</v>
      </c>
      <c r="L86" s="174">
        <f t="shared" si="19"/>
        <v>197750</v>
      </c>
      <c r="M86" s="167">
        <v>197750</v>
      </c>
      <c r="N86" s="167"/>
      <c r="O86" s="10" t="s">
        <v>44</v>
      </c>
      <c r="P86" s="182">
        <v>354316</v>
      </c>
    </row>
    <row r="87" spans="1:16" x14ac:dyDescent="0.2">
      <c r="A87" s="167" t="s">
        <v>834</v>
      </c>
      <c r="B87" s="167" t="s">
        <v>833</v>
      </c>
      <c r="C87" s="167" t="s">
        <v>582</v>
      </c>
      <c r="D87" s="167" t="s">
        <v>461</v>
      </c>
      <c r="E87" s="167" t="s">
        <v>798</v>
      </c>
      <c r="F87" s="174">
        <f t="shared" si="15"/>
        <v>69000</v>
      </c>
      <c r="G87" s="174">
        <v>60000</v>
      </c>
      <c r="H87" s="174">
        <f t="shared" si="16"/>
        <v>9000</v>
      </c>
      <c r="I87" s="94">
        <v>42824</v>
      </c>
      <c r="J87" s="94">
        <f t="shared" si="17"/>
        <v>42914</v>
      </c>
      <c r="K87" s="174">
        <f t="shared" si="18"/>
        <v>1200</v>
      </c>
      <c r="L87" s="174">
        <f t="shared" si="19"/>
        <v>67800</v>
      </c>
      <c r="M87" s="167">
        <v>67800</v>
      </c>
      <c r="N87" s="167"/>
      <c r="O87" s="10" t="s">
        <v>44</v>
      </c>
      <c r="P87" s="182">
        <v>354316</v>
      </c>
    </row>
    <row r="89" spans="1:16" x14ac:dyDescent="0.2">
      <c r="J89" s="51">
        <f>F44*2%</f>
        <v>539.30399999999997</v>
      </c>
      <c r="K89" s="60">
        <f>G44*2%</f>
        <v>468.96000000000004</v>
      </c>
    </row>
  </sheetData>
  <hyperlinks>
    <hyperlink ref="A2" location="HOME!A1" display="HOME" xr:uid="{00000000-0004-0000-0400-000000000000}"/>
    <hyperlink ref="B2" location="MONTHWISE!A1" display="Monthwise" xr:uid="{00000000-0004-0000-0400-000001000000}"/>
  </hyperlinks>
  <pageMargins left="0.7" right="0.7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P28"/>
  <sheetViews>
    <sheetView workbookViewId="0">
      <selection activeCell="O15" sqref="O15:P15"/>
    </sheetView>
  </sheetViews>
  <sheetFormatPr defaultColWidth="9.140625" defaultRowHeight="12.75" x14ac:dyDescent="0.2"/>
  <cols>
    <col min="1" max="1" width="12.7109375" style="39" bestFit="1" customWidth="1"/>
    <col min="2" max="2" width="5.5703125" style="39" bestFit="1" customWidth="1"/>
    <col min="3" max="3" width="8.7109375" style="39" bestFit="1" customWidth="1"/>
    <col min="4" max="4" width="8.140625" style="39" bestFit="1" customWidth="1"/>
    <col min="5" max="5" width="22.28515625" style="71" bestFit="1" customWidth="1"/>
    <col min="6" max="6" width="10.42578125" style="42" bestFit="1" customWidth="1"/>
    <col min="7" max="7" width="9.28515625" style="32" bestFit="1" customWidth="1"/>
    <col min="8" max="8" width="8.7109375" style="42" bestFit="1" customWidth="1"/>
    <col min="9" max="9" width="10.7109375" style="39" bestFit="1" customWidth="1"/>
    <col min="10" max="10" width="7.42578125" style="71" bestFit="1" customWidth="1"/>
    <col min="11" max="11" width="8.42578125" style="32" bestFit="1" customWidth="1"/>
    <col min="12" max="12" width="12.140625" style="42" bestFit="1" customWidth="1"/>
    <col min="13" max="13" width="13.5703125" style="39" bestFit="1" customWidth="1"/>
    <col min="14" max="14" width="14.85546875" style="39" bestFit="1" customWidth="1"/>
    <col min="15" max="15" width="5.42578125" style="39" bestFit="1" customWidth="1"/>
    <col min="16" max="16" width="9.7109375" style="39" bestFit="1" customWidth="1"/>
    <col min="17" max="16384" width="9.140625" style="39"/>
  </cols>
  <sheetData>
    <row r="1" spans="1:16" x14ac:dyDescent="0.2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64" t="s">
        <v>37</v>
      </c>
    </row>
    <row r="2" spans="1:16" x14ac:dyDescent="0.2">
      <c r="A2" s="65" t="s">
        <v>119</v>
      </c>
      <c r="B2" s="65"/>
      <c r="C2" s="65"/>
      <c r="D2" s="65" t="s">
        <v>84</v>
      </c>
      <c r="E2" s="66" t="s">
        <v>120</v>
      </c>
      <c r="F2" s="12">
        <f>G2+H2</f>
        <v>85296.774999999994</v>
      </c>
      <c r="G2" s="67">
        <v>74495</v>
      </c>
      <c r="H2" s="12">
        <f>G2*14.5%</f>
        <v>10801.775</v>
      </c>
      <c r="I2" s="65"/>
      <c r="J2" s="66"/>
      <c r="K2" s="12">
        <f>G2*2%</f>
        <v>1489.9</v>
      </c>
      <c r="L2" s="12">
        <f>F2-K2</f>
        <v>83806.875</v>
      </c>
      <c r="M2" s="65">
        <v>83807</v>
      </c>
      <c r="N2" s="65" t="s">
        <v>121</v>
      </c>
      <c r="O2" s="10" t="s">
        <v>44</v>
      </c>
      <c r="P2" s="68" t="s">
        <v>122</v>
      </c>
    </row>
    <row r="3" spans="1:16" x14ac:dyDescent="0.2">
      <c r="A3" s="65" t="s">
        <v>123</v>
      </c>
      <c r="B3" s="65"/>
      <c r="C3" s="65"/>
      <c r="D3" s="65" t="s">
        <v>124</v>
      </c>
      <c r="E3" s="66" t="s">
        <v>125</v>
      </c>
      <c r="F3" s="12">
        <f t="shared" ref="F3:F18" si="0">G3+H3</f>
        <v>4024.6750000000002</v>
      </c>
      <c r="G3" s="67">
        <v>3515</v>
      </c>
      <c r="H3" s="12">
        <f t="shared" ref="H3:H7" si="1">G3*14.5%</f>
        <v>509.67499999999995</v>
      </c>
      <c r="I3" s="65"/>
      <c r="J3" s="66"/>
      <c r="K3" s="12">
        <f t="shared" ref="K3:K18" si="2">G3*2%</f>
        <v>70.3</v>
      </c>
      <c r="L3" s="12">
        <f t="shared" ref="L3:L18" si="3">F3-K3</f>
        <v>3954.375</v>
      </c>
      <c r="M3" s="65">
        <v>3954</v>
      </c>
      <c r="N3" s="65" t="s">
        <v>126</v>
      </c>
      <c r="O3" s="10" t="s">
        <v>44</v>
      </c>
      <c r="P3" s="68" t="s">
        <v>122</v>
      </c>
    </row>
    <row r="4" spans="1:16" x14ac:dyDescent="0.2">
      <c r="A4" s="65" t="s">
        <v>46</v>
      </c>
      <c r="B4" s="65"/>
      <c r="C4" s="65"/>
      <c r="D4" s="65" t="s">
        <v>84</v>
      </c>
      <c r="E4" s="66" t="s">
        <v>127</v>
      </c>
      <c r="F4" s="12">
        <f t="shared" si="0"/>
        <v>91628.625</v>
      </c>
      <c r="G4" s="67">
        <v>80025</v>
      </c>
      <c r="H4" s="12">
        <f t="shared" si="1"/>
        <v>11603.625</v>
      </c>
      <c r="I4" s="65"/>
      <c r="J4" s="66"/>
      <c r="K4" s="12">
        <f t="shared" si="2"/>
        <v>1600.5</v>
      </c>
      <c r="L4" s="12">
        <f t="shared" si="3"/>
        <v>90028.125</v>
      </c>
      <c r="M4" s="65">
        <v>90028</v>
      </c>
      <c r="N4" s="65" t="s">
        <v>128</v>
      </c>
      <c r="O4" s="10" t="s">
        <v>44</v>
      </c>
      <c r="P4" s="68" t="s">
        <v>122</v>
      </c>
    </row>
    <row r="5" spans="1:16" x14ac:dyDescent="0.2">
      <c r="A5" s="65" t="s">
        <v>46</v>
      </c>
      <c r="B5" s="65"/>
      <c r="C5" s="65"/>
      <c r="D5" s="65" t="s">
        <v>124</v>
      </c>
      <c r="E5" s="66" t="s">
        <v>129</v>
      </c>
      <c r="F5" s="12">
        <f t="shared" si="0"/>
        <v>413608.35</v>
      </c>
      <c r="G5" s="67">
        <v>361230</v>
      </c>
      <c r="H5" s="12">
        <f t="shared" si="1"/>
        <v>52378.35</v>
      </c>
      <c r="I5" s="65"/>
      <c r="J5" s="66"/>
      <c r="K5" s="12">
        <f t="shared" si="2"/>
        <v>7224.6</v>
      </c>
      <c r="L5" s="12">
        <f t="shared" si="3"/>
        <v>406383.75</v>
      </c>
      <c r="M5" s="65">
        <v>406383</v>
      </c>
      <c r="N5" s="65" t="s">
        <v>130</v>
      </c>
      <c r="O5" s="10" t="s">
        <v>44</v>
      </c>
      <c r="P5" s="68" t="s">
        <v>122</v>
      </c>
    </row>
    <row r="6" spans="1:16" x14ac:dyDescent="0.2">
      <c r="A6" s="65" t="s">
        <v>74</v>
      </c>
      <c r="B6" s="65"/>
      <c r="C6" s="65"/>
      <c r="D6" s="65" t="s">
        <v>84</v>
      </c>
      <c r="E6" s="66" t="s">
        <v>131</v>
      </c>
      <c r="F6" s="12">
        <f t="shared" si="0"/>
        <v>8123.7749999999996</v>
      </c>
      <c r="G6" s="67">
        <v>7095</v>
      </c>
      <c r="H6" s="12">
        <f t="shared" si="1"/>
        <v>1028.7749999999999</v>
      </c>
      <c r="I6" s="65"/>
      <c r="J6" s="66"/>
      <c r="K6" s="12">
        <f t="shared" si="2"/>
        <v>141.9</v>
      </c>
      <c r="L6" s="12">
        <f t="shared" si="3"/>
        <v>7981.875</v>
      </c>
      <c r="M6" s="65">
        <v>7982</v>
      </c>
      <c r="N6" s="65" t="s">
        <v>132</v>
      </c>
      <c r="O6" s="10" t="s">
        <v>44</v>
      </c>
      <c r="P6" s="68" t="s">
        <v>122</v>
      </c>
    </row>
    <row r="7" spans="1:16" x14ac:dyDescent="0.2">
      <c r="A7" s="65" t="s">
        <v>74</v>
      </c>
      <c r="B7" s="65"/>
      <c r="C7" s="65"/>
      <c r="D7" s="65" t="s">
        <v>124</v>
      </c>
      <c r="E7" s="66" t="s">
        <v>133</v>
      </c>
      <c r="F7" s="12">
        <f t="shared" si="0"/>
        <v>266812.48</v>
      </c>
      <c r="G7" s="67">
        <v>233024</v>
      </c>
      <c r="H7" s="12">
        <f t="shared" si="1"/>
        <v>33788.479999999996</v>
      </c>
      <c r="I7" s="65"/>
      <c r="J7" s="66"/>
      <c r="K7" s="12">
        <f t="shared" si="2"/>
        <v>4660.4800000000005</v>
      </c>
      <c r="L7" s="12">
        <f t="shared" si="3"/>
        <v>262152</v>
      </c>
      <c r="M7" s="65">
        <v>262151</v>
      </c>
      <c r="N7" s="65" t="s">
        <v>134</v>
      </c>
      <c r="O7" s="10" t="s">
        <v>44</v>
      </c>
      <c r="P7" s="68" t="s">
        <v>122</v>
      </c>
    </row>
    <row r="8" spans="1:16" x14ac:dyDescent="0.2">
      <c r="A8" s="65" t="s">
        <v>135</v>
      </c>
      <c r="B8" s="65"/>
      <c r="C8" s="65"/>
      <c r="D8" s="65" t="s">
        <v>124</v>
      </c>
      <c r="E8" s="66" t="s">
        <v>136</v>
      </c>
      <c r="F8" s="12">
        <f t="shared" si="0"/>
        <v>233289</v>
      </c>
      <c r="G8" s="67">
        <v>202860</v>
      </c>
      <c r="H8" s="12">
        <f>G8*15%</f>
        <v>30429</v>
      </c>
      <c r="I8" s="65"/>
      <c r="J8" s="66"/>
      <c r="K8" s="12">
        <f t="shared" si="2"/>
        <v>4057.2000000000003</v>
      </c>
      <c r="L8" s="12">
        <f t="shared" si="3"/>
        <v>229231.8</v>
      </c>
      <c r="M8" s="65">
        <v>229232</v>
      </c>
      <c r="N8" s="65" t="s">
        <v>137</v>
      </c>
      <c r="O8" s="10" t="s">
        <v>44</v>
      </c>
      <c r="P8" s="68" t="s">
        <v>122</v>
      </c>
    </row>
    <row r="9" spans="1:16" x14ac:dyDescent="0.2">
      <c r="A9" s="65" t="s">
        <v>304</v>
      </c>
      <c r="B9" s="65"/>
      <c r="C9" s="65"/>
      <c r="D9" s="65" t="s">
        <v>124</v>
      </c>
      <c r="E9" s="66" t="s">
        <v>362</v>
      </c>
      <c r="F9" s="12">
        <f t="shared" si="0"/>
        <v>313302.55</v>
      </c>
      <c r="G9" s="67">
        <v>272437</v>
      </c>
      <c r="H9" s="12">
        <f t="shared" ref="H9:H18" si="4">G9*15%</f>
        <v>40865.549999999996</v>
      </c>
      <c r="I9" s="65"/>
      <c r="J9" s="66"/>
      <c r="K9" s="12">
        <f t="shared" si="2"/>
        <v>5448.74</v>
      </c>
      <c r="L9" s="12">
        <f t="shared" si="3"/>
        <v>307853.81</v>
      </c>
      <c r="M9" s="65">
        <v>307853</v>
      </c>
      <c r="N9" s="65" t="s">
        <v>439</v>
      </c>
      <c r="O9" s="10" t="s">
        <v>44</v>
      </c>
      <c r="P9" s="68" t="s">
        <v>122</v>
      </c>
    </row>
    <row r="10" spans="1:16" x14ac:dyDescent="0.2">
      <c r="A10" s="65" t="s">
        <v>406</v>
      </c>
      <c r="B10" s="65"/>
      <c r="C10" s="65"/>
      <c r="D10" s="65" t="s">
        <v>124</v>
      </c>
      <c r="E10" s="66" t="s">
        <v>405</v>
      </c>
      <c r="F10" s="12">
        <f t="shared" si="0"/>
        <v>110900.25</v>
      </c>
      <c r="G10" s="67">
        <v>96435</v>
      </c>
      <c r="H10" s="12">
        <f t="shared" si="4"/>
        <v>14465.25</v>
      </c>
      <c r="I10" s="65"/>
      <c r="J10" s="66"/>
      <c r="K10" s="12">
        <f t="shared" si="2"/>
        <v>1928.7</v>
      </c>
      <c r="L10" s="12">
        <f t="shared" si="3"/>
        <v>108971.55</v>
      </c>
      <c r="M10" s="65">
        <v>108972</v>
      </c>
      <c r="N10" s="65" t="s">
        <v>453</v>
      </c>
      <c r="O10" s="10" t="s">
        <v>44</v>
      </c>
      <c r="P10" s="68" t="s">
        <v>122</v>
      </c>
    </row>
    <row r="11" spans="1:16" x14ac:dyDescent="0.2">
      <c r="A11" s="65" t="s">
        <v>482</v>
      </c>
      <c r="B11" s="65"/>
      <c r="C11" s="65"/>
      <c r="D11" s="65" t="s">
        <v>124</v>
      </c>
      <c r="E11" s="66" t="s">
        <v>485</v>
      </c>
      <c r="F11" s="12">
        <f t="shared" si="0"/>
        <v>329517.55</v>
      </c>
      <c r="G11" s="67">
        <v>286537</v>
      </c>
      <c r="H11" s="12">
        <f t="shared" si="4"/>
        <v>42980.549999999996</v>
      </c>
      <c r="I11" s="65"/>
      <c r="J11" s="66"/>
      <c r="K11" s="12">
        <f t="shared" si="2"/>
        <v>5730.74</v>
      </c>
      <c r="L11" s="12">
        <f t="shared" si="3"/>
        <v>323786.81</v>
      </c>
      <c r="M11" s="65">
        <v>323787</v>
      </c>
      <c r="N11" s="65" t="s">
        <v>495</v>
      </c>
      <c r="O11" s="10" t="s">
        <v>44</v>
      </c>
      <c r="P11" s="68" t="s">
        <v>122</v>
      </c>
    </row>
    <row r="12" spans="1:16" x14ac:dyDescent="0.2">
      <c r="A12" s="65" t="s">
        <v>530</v>
      </c>
      <c r="B12" s="65"/>
      <c r="C12" s="65"/>
      <c r="D12" s="65" t="s">
        <v>124</v>
      </c>
      <c r="E12" s="66" t="s">
        <v>531</v>
      </c>
      <c r="F12" s="12">
        <f t="shared" si="0"/>
        <v>227213.55</v>
      </c>
      <c r="G12" s="67">
        <v>197577</v>
      </c>
      <c r="H12" s="12">
        <f t="shared" si="4"/>
        <v>29636.55</v>
      </c>
      <c r="I12" s="65"/>
      <c r="J12" s="66"/>
      <c r="K12" s="12">
        <f t="shared" si="2"/>
        <v>3951.54</v>
      </c>
      <c r="L12" s="12">
        <f t="shared" si="3"/>
        <v>223262.00999999998</v>
      </c>
      <c r="M12" s="65">
        <v>223262</v>
      </c>
      <c r="N12" s="65" t="s">
        <v>538</v>
      </c>
      <c r="O12" s="10" t="s">
        <v>44</v>
      </c>
      <c r="P12" s="68" t="s">
        <v>122</v>
      </c>
    </row>
    <row r="13" spans="1:16" x14ac:dyDescent="0.2">
      <c r="A13" s="65" t="s">
        <v>560</v>
      </c>
      <c r="B13" s="65"/>
      <c r="C13" s="65"/>
      <c r="D13" s="65" t="s">
        <v>124</v>
      </c>
      <c r="E13" s="66" t="s">
        <v>559</v>
      </c>
      <c r="F13" s="12">
        <f t="shared" si="0"/>
        <v>368018.4</v>
      </c>
      <c r="G13" s="67">
        <v>320016</v>
      </c>
      <c r="H13" s="12">
        <f t="shared" si="4"/>
        <v>48002.400000000001</v>
      </c>
      <c r="I13" s="65"/>
      <c r="J13" s="66"/>
      <c r="K13" s="12">
        <f t="shared" si="2"/>
        <v>6400.32</v>
      </c>
      <c r="L13" s="12">
        <f t="shared" si="3"/>
        <v>361618.08</v>
      </c>
      <c r="M13" s="65">
        <v>361619</v>
      </c>
      <c r="N13" s="65" t="s">
        <v>608</v>
      </c>
      <c r="O13" s="10" t="s">
        <v>44</v>
      </c>
      <c r="P13" s="68" t="s">
        <v>122</v>
      </c>
    </row>
    <row r="14" spans="1:16" x14ac:dyDescent="0.2">
      <c r="A14" s="65" t="s">
        <v>667</v>
      </c>
      <c r="B14" s="65"/>
      <c r="C14" s="65"/>
      <c r="D14" s="65" t="s">
        <v>124</v>
      </c>
      <c r="E14" s="66" t="s">
        <v>666</v>
      </c>
      <c r="F14" s="12">
        <f t="shared" si="0"/>
        <v>265346.40000000002</v>
      </c>
      <c r="G14" s="67">
        <v>230736</v>
      </c>
      <c r="H14" s="12">
        <f t="shared" si="4"/>
        <v>34610.400000000001</v>
      </c>
      <c r="I14" s="65"/>
      <c r="J14" s="66"/>
      <c r="K14" s="12">
        <f t="shared" si="2"/>
        <v>4614.72</v>
      </c>
      <c r="L14" s="12">
        <f t="shared" si="3"/>
        <v>260731.68000000002</v>
      </c>
      <c r="M14" s="65">
        <v>260732</v>
      </c>
      <c r="N14" s="65" t="s">
        <v>710</v>
      </c>
      <c r="O14" s="10" t="s">
        <v>44</v>
      </c>
      <c r="P14" s="68" t="s">
        <v>122</v>
      </c>
    </row>
    <row r="15" spans="1:16" x14ac:dyDescent="0.2">
      <c r="A15" s="65" t="s">
        <v>753</v>
      </c>
      <c r="B15" s="65"/>
      <c r="C15" s="65"/>
      <c r="D15" s="65" t="s">
        <v>124</v>
      </c>
      <c r="E15" s="66" t="s">
        <v>752</v>
      </c>
      <c r="F15" s="12">
        <f t="shared" si="0"/>
        <v>200509.4</v>
      </c>
      <c r="G15" s="67">
        <v>174356</v>
      </c>
      <c r="H15" s="12">
        <f t="shared" si="4"/>
        <v>26153.399999999998</v>
      </c>
      <c r="I15" s="65"/>
      <c r="J15" s="66"/>
      <c r="K15" s="12">
        <f t="shared" si="2"/>
        <v>3487.12</v>
      </c>
      <c r="L15" s="12">
        <f t="shared" si="3"/>
        <v>197022.28</v>
      </c>
      <c r="M15" s="65">
        <v>197021</v>
      </c>
      <c r="N15" s="65" t="s">
        <v>765</v>
      </c>
      <c r="O15" s="10" t="s">
        <v>44</v>
      </c>
      <c r="P15" s="68" t="s">
        <v>122</v>
      </c>
    </row>
    <row r="16" spans="1:16" x14ac:dyDescent="0.2">
      <c r="A16" s="20"/>
      <c r="B16" s="20"/>
      <c r="C16" s="20"/>
      <c r="D16" s="20"/>
      <c r="E16" s="69"/>
      <c r="F16" s="16">
        <f t="shared" si="0"/>
        <v>0</v>
      </c>
      <c r="G16" s="22"/>
      <c r="H16" s="16">
        <f t="shared" si="4"/>
        <v>0</v>
      </c>
      <c r="I16" s="20"/>
      <c r="J16" s="69"/>
      <c r="K16" s="16">
        <f t="shared" si="2"/>
        <v>0</v>
      </c>
      <c r="L16" s="16">
        <f t="shared" si="3"/>
        <v>0</v>
      </c>
      <c r="M16" s="20"/>
      <c r="N16" s="20"/>
      <c r="O16" s="20"/>
      <c r="P16" s="19"/>
    </row>
    <row r="17" spans="1:16" x14ac:dyDescent="0.2">
      <c r="A17" s="20"/>
      <c r="B17" s="20"/>
      <c r="C17" s="20"/>
      <c r="D17" s="20"/>
      <c r="E17" s="69"/>
      <c r="F17" s="16">
        <f t="shared" si="0"/>
        <v>0</v>
      </c>
      <c r="G17" s="22"/>
      <c r="H17" s="16">
        <f t="shared" si="4"/>
        <v>0</v>
      </c>
      <c r="I17" s="20"/>
      <c r="J17" s="69"/>
      <c r="K17" s="16">
        <f t="shared" si="2"/>
        <v>0</v>
      </c>
      <c r="L17" s="16">
        <f t="shared" si="3"/>
        <v>0</v>
      </c>
      <c r="M17" s="20"/>
      <c r="N17" s="20"/>
      <c r="O17" s="20"/>
      <c r="P17" s="19"/>
    </row>
    <row r="18" spans="1:16" x14ac:dyDescent="0.2">
      <c r="A18" s="28"/>
      <c r="B18" s="28"/>
      <c r="C18" s="28"/>
      <c r="D18" s="28"/>
      <c r="E18" s="70"/>
      <c r="F18" s="16">
        <f t="shared" si="0"/>
        <v>0</v>
      </c>
      <c r="G18" s="30"/>
      <c r="H18" s="16">
        <f t="shared" si="4"/>
        <v>0</v>
      </c>
      <c r="I18" s="28"/>
      <c r="J18" s="70"/>
      <c r="K18" s="16">
        <f t="shared" si="2"/>
        <v>0</v>
      </c>
      <c r="L18" s="16">
        <f t="shared" si="3"/>
        <v>0</v>
      </c>
      <c r="M18" s="28"/>
      <c r="N18" s="28"/>
      <c r="O18" s="28"/>
      <c r="P18" s="43"/>
    </row>
    <row r="20" spans="1:16" ht="23.25" x14ac:dyDescent="0.35">
      <c r="E20" s="46" t="s">
        <v>38</v>
      </c>
      <c r="F20" s="33">
        <f>SUM(F2:F18)</f>
        <v>2917591.7800000003</v>
      </c>
      <c r="G20" s="33">
        <f>SUM(G2:G18)</f>
        <v>2540338</v>
      </c>
      <c r="H20" s="33">
        <f>SUM(H2:H18)</f>
        <v>377253.78</v>
      </c>
      <c r="I20" s="42"/>
      <c r="J20" s="39"/>
      <c r="K20" s="34">
        <f>SUM(K2:K18)</f>
        <v>50806.760000000009</v>
      </c>
      <c r="L20" s="33">
        <f>SUM(L2:L18)</f>
        <v>2866785.02</v>
      </c>
      <c r="M20" s="33">
        <f>SUM(M2:M18)</f>
        <v>2866783</v>
      </c>
    </row>
    <row r="21" spans="1:16" ht="18.75" x14ac:dyDescent="0.3">
      <c r="E21" s="48" t="s">
        <v>39</v>
      </c>
    </row>
    <row r="24" spans="1:16" x14ac:dyDescent="0.2">
      <c r="M24" s="42">
        <f>L9-M9</f>
        <v>0.80999999999767169</v>
      </c>
      <c r="N24" s="39">
        <v>390000</v>
      </c>
    </row>
    <row r="25" spans="1:16" x14ac:dyDescent="0.2">
      <c r="M25" s="39">
        <f>G9*10%</f>
        <v>27243.7</v>
      </c>
      <c r="N25" s="39">
        <v>16383</v>
      </c>
    </row>
    <row r="26" spans="1:16" x14ac:dyDescent="0.2">
      <c r="M26" s="42">
        <f>F9-M25</f>
        <v>286058.84999999998</v>
      </c>
    </row>
    <row r="28" spans="1:16" x14ac:dyDescent="0.2">
      <c r="I28" s="42"/>
    </row>
  </sheetData>
  <hyperlinks>
    <hyperlink ref="E20" location="HOME!A1" display="HOME" xr:uid="{00000000-0004-0000-0500-000000000000}"/>
    <hyperlink ref="E21" location="MONTHWISE!A1" display="Monthwise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P35"/>
  <sheetViews>
    <sheetView workbookViewId="0">
      <selection activeCell="M23" sqref="M23"/>
    </sheetView>
  </sheetViews>
  <sheetFormatPr defaultColWidth="9.140625" defaultRowHeight="12.75" x14ac:dyDescent="0.2"/>
  <cols>
    <col min="1" max="1" width="13.140625" style="5" bestFit="1" customWidth="1"/>
    <col min="2" max="2" width="5.5703125" style="5" bestFit="1" customWidth="1"/>
    <col min="3" max="3" width="21.5703125" style="5" bestFit="1" customWidth="1"/>
    <col min="4" max="4" width="5.5703125" style="5" bestFit="1" customWidth="1"/>
    <col min="5" max="5" width="30.5703125" style="32" bestFit="1" customWidth="1"/>
    <col min="6" max="6" width="10.42578125" style="32" bestFit="1" customWidth="1"/>
    <col min="7" max="7" width="9.28515625" style="32" bestFit="1" customWidth="1"/>
    <col min="8" max="8" width="8.7109375" style="32" bestFit="1" customWidth="1"/>
    <col min="9" max="9" width="10.7109375" style="5" bestFit="1" customWidth="1"/>
    <col min="10" max="10" width="9.28515625" style="79" bestFit="1" customWidth="1"/>
    <col min="11" max="11" width="6.5703125" style="32" bestFit="1" customWidth="1"/>
    <col min="12" max="12" width="12.140625" style="32" bestFit="1" customWidth="1"/>
    <col min="13" max="13" width="13.5703125" style="5" bestFit="1" customWidth="1"/>
    <col min="14" max="14" width="14.85546875" style="5" bestFit="1" customWidth="1"/>
    <col min="15" max="15" width="5.5703125" style="5" bestFit="1" customWidth="1"/>
    <col min="16" max="16" width="11.7109375" style="5" bestFit="1" customWidth="1"/>
    <col min="17" max="16384" width="9.140625" style="5"/>
  </cols>
  <sheetData>
    <row r="1" spans="1:16" x14ac:dyDescent="0.2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72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64" t="s">
        <v>37</v>
      </c>
    </row>
    <row r="2" spans="1:16" x14ac:dyDescent="0.2">
      <c r="A2" s="14" t="s">
        <v>138</v>
      </c>
      <c r="B2" s="14"/>
      <c r="C2" s="14" t="s">
        <v>139</v>
      </c>
      <c r="D2" s="14" t="s">
        <v>61</v>
      </c>
      <c r="E2" s="73" t="s">
        <v>140</v>
      </c>
      <c r="F2" s="74">
        <f>SUM(G2:H2)</f>
        <v>174326.25</v>
      </c>
      <c r="G2" s="75">
        <f>1450000/1000*105</f>
        <v>152250</v>
      </c>
      <c r="H2" s="74">
        <f>G2*14.5%</f>
        <v>22076.25</v>
      </c>
      <c r="I2" s="14"/>
      <c r="J2" s="76"/>
      <c r="K2" s="74">
        <f>G2*2%</f>
        <v>3045</v>
      </c>
      <c r="L2" s="74">
        <f>F2-K2</f>
        <v>171281.25</v>
      </c>
      <c r="M2" s="14">
        <v>171281</v>
      </c>
      <c r="N2" s="77" t="s">
        <v>53</v>
      </c>
      <c r="O2" s="14" t="s">
        <v>44</v>
      </c>
      <c r="P2" s="14" t="s">
        <v>45</v>
      </c>
    </row>
    <row r="3" spans="1:16" x14ac:dyDescent="0.2">
      <c r="A3" s="14" t="s">
        <v>141</v>
      </c>
      <c r="B3" s="14"/>
      <c r="C3" s="14" t="s">
        <v>142</v>
      </c>
      <c r="D3" s="14" t="s">
        <v>95</v>
      </c>
      <c r="E3" s="73" t="s">
        <v>143</v>
      </c>
      <c r="F3" s="74">
        <f t="shared" ref="F3:F26" si="0">SUM(G3:H3)</f>
        <v>109920</v>
      </c>
      <c r="G3" s="75">
        <v>96000</v>
      </c>
      <c r="H3" s="74">
        <f t="shared" ref="H3:H5" si="1">G3*14.5%</f>
        <v>13919.999999999998</v>
      </c>
      <c r="I3" s="76">
        <v>42490</v>
      </c>
      <c r="J3" s="76">
        <f>I3+60</f>
        <v>42550</v>
      </c>
      <c r="K3" s="74">
        <f t="shared" ref="K3:K26" si="2">G3*2%</f>
        <v>1920</v>
      </c>
      <c r="L3" s="74">
        <f t="shared" ref="L3:L26" si="3">F3-K3</f>
        <v>108000</v>
      </c>
      <c r="M3" s="14">
        <v>108000</v>
      </c>
      <c r="N3" s="14" t="s">
        <v>395</v>
      </c>
      <c r="O3" s="14" t="s">
        <v>44</v>
      </c>
      <c r="P3" s="14" t="s">
        <v>45</v>
      </c>
    </row>
    <row r="4" spans="1:16" x14ac:dyDescent="0.2">
      <c r="A4" s="14" t="s">
        <v>144</v>
      </c>
      <c r="B4" s="14"/>
      <c r="C4" s="14" t="s">
        <v>142</v>
      </c>
      <c r="D4" s="14" t="s">
        <v>95</v>
      </c>
      <c r="E4" s="75" t="s">
        <v>145</v>
      </c>
      <c r="F4" s="74">
        <f t="shared" si="0"/>
        <v>42937.5</v>
      </c>
      <c r="G4" s="75">
        <v>37500</v>
      </c>
      <c r="H4" s="74">
        <f t="shared" si="1"/>
        <v>5437.5</v>
      </c>
      <c r="I4" s="76">
        <v>42519</v>
      </c>
      <c r="J4" s="76">
        <f t="shared" ref="J4:J6" si="4">I4+60</f>
        <v>42579</v>
      </c>
      <c r="K4" s="74">
        <f t="shared" si="2"/>
        <v>750</v>
      </c>
      <c r="L4" s="74">
        <f t="shared" si="3"/>
        <v>42187.5</v>
      </c>
      <c r="M4" s="14">
        <v>42188</v>
      </c>
      <c r="N4" s="14" t="s">
        <v>597</v>
      </c>
      <c r="O4" s="14" t="s">
        <v>44</v>
      </c>
      <c r="P4" s="14" t="s">
        <v>45</v>
      </c>
    </row>
    <row r="5" spans="1:16" x14ac:dyDescent="0.2">
      <c r="A5" s="14" t="s">
        <v>74</v>
      </c>
      <c r="B5" s="14"/>
      <c r="C5" s="14" t="s">
        <v>146</v>
      </c>
      <c r="D5" s="14" t="s">
        <v>61</v>
      </c>
      <c r="E5" s="75" t="s">
        <v>147</v>
      </c>
      <c r="F5" s="74">
        <f t="shared" si="0"/>
        <v>51525</v>
      </c>
      <c r="G5" s="75">
        <v>45000</v>
      </c>
      <c r="H5" s="74">
        <f t="shared" si="1"/>
        <v>6525</v>
      </c>
      <c r="I5" s="76">
        <v>42521</v>
      </c>
      <c r="J5" s="76">
        <f t="shared" si="4"/>
        <v>42581</v>
      </c>
      <c r="K5" s="74">
        <f t="shared" si="2"/>
        <v>900</v>
      </c>
      <c r="L5" s="74">
        <f t="shared" si="3"/>
        <v>50625</v>
      </c>
      <c r="M5" s="14">
        <v>50625</v>
      </c>
      <c r="N5" s="14" t="s">
        <v>597</v>
      </c>
      <c r="O5" s="14" t="s">
        <v>44</v>
      </c>
      <c r="P5" s="14" t="s">
        <v>45</v>
      </c>
    </row>
    <row r="6" spans="1:16" x14ac:dyDescent="0.2">
      <c r="A6" s="14" t="s">
        <v>148</v>
      </c>
      <c r="B6" s="14"/>
      <c r="C6" s="14" t="s">
        <v>149</v>
      </c>
      <c r="D6" s="14" t="s">
        <v>61</v>
      </c>
      <c r="E6" s="75" t="s">
        <v>150</v>
      </c>
      <c r="F6" s="74">
        <f t="shared" si="0"/>
        <v>51750</v>
      </c>
      <c r="G6" s="75">
        <v>45000</v>
      </c>
      <c r="H6" s="74">
        <f>G6*15%</f>
        <v>6750</v>
      </c>
      <c r="I6" s="76">
        <v>42528</v>
      </c>
      <c r="J6" s="76">
        <f t="shared" si="4"/>
        <v>42588</v>
      </c>
      <c r="K6" s="74">
        <f t="shared" si="2"/>
        <v>900</v>
      </c>
      <c r="L6" s="74">
        <f t="shared" si="3"/>
        <v>50850</v>
      </c>
      <c r="M6" s="14">
        <v>50850</v>
      </c>
      <c r="N6" s="14" t="s">
        <v>395</v>
      </c>
      <c r="O6" s="14" t="s">
        <v>44</v>
      </c>
      <c r="P6" s="14" t="s">
        <v>45</v>
      </c>
    </row>
    <row r="7" spans="1:16" x14ac:dyDescent="0.2">
      <c r="A7" s="14" t="s">
        <v>134</v>
      </c>
      <c r="B7" s="14"/>
      <c r="C7" s="14" t="s">
        <v>151</v>
      </c>
      <c r="D7" s="14" t="s">
        <v>61</v>
      </c>
      <c r="E7" s="75" t="s">
        <v>152</v>
      </c>
      <c r="F7" s="74">
        <f t="shared" si="0"/>
        <v>215050</v>
      </c>
      <c r="G7" s="75">
        <v>187000</v>
      </c>
      <c r="H7" s="74">
        <f t="shared" ref="H7:H26" si="5">G7*15%</f>
        <v>28050</v>
      </c>
      <c r="I7" s="76">
        <v>42544</v>
      </c>
      <c r="J7" s="76" t="s">
        <v>153</v>
      </c>
      <c r="K7" s="74">
        <f t="shared" si="2"/>
        <v>3740</v>
      </c>
      <c r="L7" s="74">
        <f t="shared" si="3"/>
        <v>211310</v>
      </c>
      <c r="M7" s="14">
        <v>211310</v>
      </c>
      <c r="N7" s="14" t="s">
        <v>474</v>
      </c>
      <c r="O7" s="14" t="s">
        <v>44</v>
      </c>
      <c r="P7" s="14" t="s">
        <v>45</v>
      </c>
    </row>
    <row r="8" spans="1:16" x14ac:dyDescent="0.2">
      <c r="A8" s="14" t="s">
        <v>134</v>
      </c>
      <c r="B8" s="14"/>
      <c r="C8" s="14" t="s">
        <v>151</v>
      </c>
      <c r="D8" s="14" t="s">
        <v>61</v>
      </c>
      <c r="E8" s="75" t="s">
        <v>154</v>
      </c>
      <c r="F8" s="74">
        <f t="shared" si="0"/>
        <v>302450</v>
      </c>
      <c r="G8" s="75">
        <v>263000</v>
      </c>
      <c r="H8" s="74">
        <f t="shared" si="5"/>
        <v>39450</v>
      </c>
      <c r="I8" s="76">
        <v>42544</v>
      </c>
      <c r="J8" s="76" t="s">
        <v>153</v>
      </c>
      <c r="K8" s="74">
        <f t="shared" si="2"/>
        <v>5260</v>
      </c>
      <c r="L8" s="74">
        <f t="shared" si="3"/>
        <v>297190</v>
      </c>
      <c r="M8" s="14">
        <v>297190</v>
      </c>
      <c r="N8" s="14" t="s">
        <v>474</v>
      </c>
      <c r="O8" s="14" t="s">
        <v>44</v>
      </c>
      <c r="P8" s="14" t="s">
        <v>45</v>
      </c>
    </row>
    <row r="9" spans="1:16" x14ac:dyDescent="0.2">
      <c r="A9" s="14" t="s">
        <v>155</v>
      </c>
      <c r="B9" s="14"/>
      <c r="C9" s="14" t="s">
        <v>156</v>
      </c>
      <c r="D9" s="14" t="s">
        <v>61</v>
      </c>
      <c r="E9" s="75" t="s">
        <v>157</v>
      </c>
      <c r="F9" s="74">
        <f>SUM(G9:H9)</f>
        <v>36800</v>
      </c>
      <c r="G9" s="75">
        <f>400000/1000*80</f>
        <v>32000</v>
      </c>
      <c r="H9" s="74">
        <f>G9*15%</f>
        <v>4800</v>
      </c>
      <c r="I9" s="76">
        <v>42555</v>
      </c>
      <c r="J9" s="76">
        <f t="shared" ref="J9:J26" si="6">I9+60</f>
        <v>42615</v>
      </c>
      <c r="K9" s="74">
        <f>G9*2%</f>
        <v>640</v>
      </c>
      <c r="L9" s="74">
        <f>F9-K9</f>
        <v>36160</v>
      </c>
      <c r="M9" s="14">
        <v>36160</v>
      </c>
      <c r="N9" s="14" t="s">
        <v>395</v>
      </c>
      <c r="O9" s="14" t="s">
        <v>44</v>
      </c>
      <c r="P9" s="14" t="s">
        <v>45</v>
      </c>
    </row>
    <row r="10" spans="1:16" x14ac:dyDescent="0.2">
      <c r="A10" s="14" t="s">
        <v>155</v>
      </c>
      <c r="B10" s="14"/>
      <c r="C10" s="14" t="s">
        <v>142</v>
      </c>
      <c r="D10" s="14" t="s">
        <v>95</v>
      </c>
      <c r="E10" s="75" t="s">
        <v>158</v>
      </c>
      <c r="F10" s="74">
        <f>SUM(G10:H10)</f>
        <v>41687.5</v>
      </c>
      <c r="G10" s="75">
        <f>14500*2.5</f>
        <v>36250</v>
      </c>
      <c r="H10" s="74">
        <f>G10*15%</f>
        <v>5437.5</v>
      </c>
      <c r="I10" s="76">
        <v>42555</v>
      </c>
      <c r="J10" s="76">
        <f t="shared" si="6"/>
        <v>42615</v>
      </c>
      <c r="K10" s="74">
        <f>G10*2%</f>
        <v>725</v>
      </c>
      <c r="L10" s="74">
        <f>F10-K10</f>
        <v>40962.5</v>
      </c>
      <c r="M10" s="14">
        <v>40963</v>
      </c>
      <c r="N10" s="14" t="s">
        <v>597</v>
      </c>
      <c r="O10" s="14" t="s">
        <v>44</v>
      </c>
      <c r="P10" s="14" t="s">
        <v>45</v>
      </c>
    </row>
    <row r="11" spans="1:16" x14ac:dyDescent="0.2">
      <c r="A11" s="14" t="s">
        <v>155</v>
      </c>
      <c r="B11" s="14"/>
      <c r="C11" s="14" t="s">
        <v>142</v>
      </c>
      <c r="D11" s="14" t="s">
        <v>95</v>
      </c>
      <c r="E11" s="176" t="s">
        <v>159</v>
      </c>
      <c r="F11" s="74">
        <f>SUM(G11:H11)</f>
        <v>8050</v>
      </c>
      <c r="G11" s="75">
        <f>2800*2.5</f>
        <v>7000</v>
      </c>
      <c r="H11" s="74">
        <f t="shared" ref="H11:H22" si="7">G11*15%</f>
        <v>1050</v>
      </c>
      <c r="I11" s="76">
        <v>42555</v>
      </c>
      <c r="J11" s="76">
        <f t="shared" si="6"/>
        <v>42615</v>
      </c>
      <c r="K11" s="74">
        <f t="shared" ref="K11:K22" si="8">G11*2%</f>
        <v>140</v>
      </c>
      <c r="L11" s="74">
        <f t="shared" ref="L11:L22" si="9">F11-K11</f>
        <v>7910</v>
      </c>
      <c r="M11" s="14">
        <v>7910</v>
      </c>
      <c r="N11" s="14" t="s">
        <v>597</v>
      </c>
      <c r="O11" s="14" t="s">
        <v>44</v>
      </c>
      <c r="P11" s="14" t="s">
        <v>45</v>
      </c>
    </row>
    <row r="12" spans="1:16" x14ac:dyDescent="0.2">
      <c r="A12" s="14" t="s">
        <v>155</v>
      </c>
      <c r="B12" s="14"/>
      <c r="C12" s="14" t="s">
        <v>160</v>
      </c>
      <c r="D12" s="14" t="s">
        <v>95</v>
      </c>
      <c r="E12" s="176" t="s">
        <v>161</v>
      </c>
      <c r="F12" s="74">
        <f t="shared" ref="F12:F14" si="10">SUM(G12:H12)</f>
        <v>91104.15</v>
      </c>
      <c r="G12" s="75">
        <f>26407*3</f>
        <v>79221</v>
      </c>
      <c r="H12" s="74">
        <f t="shared" si="7"/>
        <v>11883.15</v>
      </c>
      <c r="I12" s="76">
        <v>42555</v>
      </c>
      <c r="J12" s="76">
        <f t="shared" si="6"/>
        <v>42615</v>
      </c>
      <c r="K12" s="74">
        <f t="shared" si="8"/>
        <v>1584.42</v>
      </c>
      <c r="L12" s="74">
        <f t="shared" si="9"/>
        <v>89519.73</v>
      </c>
      <c r="M12" s="14">
        <v>89520</v>
      </c>
      <c r="N12" s="14" t="s">
        <v>452</v>
      </c>
      <c r="O12" s="14" t="s">
        <v>44</v>
      </c>
      <c r="P12" s="14" t="s">
        <v>45</v>
      </c>
    </row>
    <row r="13" spans="1:16" x14ac:dyDescent="0.2">
      <c r="A13" s="83" t="s">
        <v>162</v>
      </c>
      <c r="B13" s="83"/>
      <c r="C13" s="83" t="s">
        <v>142</v>
      </c>
      <c r="D13" s="83" t="s">
        <v>95</v>
      </c>
      <c r="E13" s="179" t="s">
        <v>163</v>
      </c>
      <c r="F13" s="180">
        <f t="shared" si="10"/>
        <v>34500</v>
      </c>
      <c r="G13" s="84">
        <f>12000*2.5</f>
        <v>30000</v>
      </c>
      <c r="H13" s="180">
        <f t="shared" si="7"/>
        <v>4500</v>
      </c>
      <c r="I13" s="85">
        <v>42583</v>
      </c>
      <c r="J13" s="85">
        <f t="shared" si="6"/>
        <v>42643</v>
      </c>
      <c r="K13" s="180">
        <f t="shared" si="8"/>
        <v>600</v>
      </c>
      <c r="L13" s="180">
        <f t="shared" si="9"/>
        <v>33900</v>
      </c>
      <c r="M13" s="83">
        <v>32092</v>
      </c>
      <c r="N13" s="83" t="s">
        <v>452</v>
      </c>
      <c r="O13" s="83" t="s">
        <v>44</v>
      </c>
      <c r="P13" s="83" t="s">
        <v>45</v>
      </c>
    </row>
    <row r="14" spans="1:16" x14ac:dyDescent="0.2">
      <c r="A14" s="14" t="s">
        <v>164</v>
      </c>
      <c r="B14" s="14"/>
      <c r="C14" s="14" t="s">
        <v>165</v>
      </c>
      <c r="D14" s="14" t="s">
        <v>61</v>
      </c>
      <c r="E14" s="75" t="s">
        <v>166</v>
      </c>
      <c r="F14" s="74">
        <f t="shared" si="10"/>
        <v>18566.704000000002</v>
      </c>
      <c r="G14" s="75">
        <f>201812/1000*80</f>
        <v>16144.960000000001</v>
      </c>
      <c r="H14" s="74">
        <f t="shared" si="7"/>
        <v>2421.7440000000001</v>
      </c>
      <c r="I14" s="76">
        <v>42556</v>
      </c>
      <c r="J14" s="76">
        <f t="shared" si="6"/>
        <v>42616</v>
      </c>
      <c r="K14" s="74">
        <f t="shared" si="8"/>
        <v>322.89920000000001</v>
      </c>
      <c r="L14" s="74">
        <f t="shared" si="9"/>
        <v>18243.804800000002</v>
      </c>
      <c r="M14" s="14">
        <v>18244</v>
      </c>
      <c r="N14" s="14" t="s">
        <v>395</v>
      </c>
      <c r="O14" s="14" t="s">
        <v>44</v>
      </c>
      <c r="P14" s="14" t="s">
        <v>45</v>
      </c>
    </row>
    <row r="15" spans="1:16" x14ac:dyDescent="0.2">
      <c r="A15" s="14" t="s">
        <v>167</v>
      </c>
      <c r="B15" s="14"/>
      <c r="C15" s="14" t="s">
        <v>168</v>
      </c>
      <c r="D15" s="14" t="s">
        <v>95</v>
      </c>
      <c r="E15" s="75" t="s">
        <v>169</v>
      </c>
      <c r="F15" s="74">
        <f>SUM(G15:H15)</f>
        <v>4140</v>
      </c>
      <c r="G15" s="177">
        <f>1800*2</f>
        <v>3600</v>
      </c>
      <c r="H15" s="74">
        <f t="shared" si="7"/>
        <v>540</v>
      </c>
      <c r="I15" s="178">
        <v>42574</v>
      </c>
      <c r="J15" s="76">
        <f t="shared" si="6"/>
        <v>42634</v>
      </c>
      <c r="K15" s="74">
        <f t="shared" si="8"/>
        <v>72</v>
      </c>
      <c r="L15" s="74">
        <f t="shared" si="9"/>
        <v>4068</v>
      </c>
      <c r="M15" s="14">
        <v>4068</v>
      </c>
      <c r="N15" s="14" t="s">
        <v>452</v>
      </c>
      <c r="O15" s="14" t="s">
        <v>44</v>
      </c>
      <c r="P15" s="14" t="s">
        <v>45</v>
      </c>
    </row>
    <row r="16" spans="1:16" x14ac:dyDescent="0.2">
      <c r="A16" s="14" t="s">
        <v>167</v>
      </c>
      <c r="B16" s="14"/>
      <c r="C16" s="14" t="s">
        <v>170</v>
      </c>
      <c r="D16" s="14" t="s">
        <v>61</v>
      </c>
      <c r="E16" s="75" t="s">
        <v>171</v>
      </c>
      <c r="F16" s="74">
        <f>SUM(G16:H16)</f>
        <v>23000</v>
      </c>
      <c r="G16" s="75">
        <f>250000/1000*80</f>
        <v>20000</v>
      </c>
      <c r="H16" s="74">
        <f t="shared" si="7"/>
        <v>3000</v>
      </c>
      <c r="I16" s="76">
        <v>42574</v>
      </c>
      <c r="J16" s="76">
        <f t="shared" si="6"/>
        <v>42634</v>
      </c>
      <c r="K16" s="74">
        <f t="shared" si="8"/>
        <v>400</v>
      </c>
      <c r="L16" s="74">
        <f t="shared" si="9"/>
        <v>22600</v>
      </c>
      <c r="M16" s="14">
        <v>22600</v>
      </c>
      <c r="N16" s="14" t="s">
        <v>597</v>
      </c>
      <c r="O16" s="14" t="s">
        <v>44</v>
      </c>
      <c r="P16" s="14" t="s">
        <v>45</v>
      </c>
    </row>
    <row r="17" spans="1:16" x14ac:dyDescent="0.2">
      <c r="A17" s="14" t="s">
        <v>164</v>
      </c>
      <c r="B17" s="14"/>
      <c r="C17" s="14" t="s">
        <v>172</v>
      </c>
      <c r="D17" s="14" t="s">
        <v>95</v>
      </c>
      <c r="E17" s="75" t="s">
        <v>173</v>
      </c>
      <c r="F17" s="74">
        <f t="shared" ref="F17" si="11">SUM(G17:H17)</f>
        <v>7187.5</v>
      </c>
      <c r="G17" s="75">
        <f>2500*2.5</f>
        <v>6250</v>
      </c>
      <c r="H17" s="74">
        <f t="shared" si="7"/>
        <v>937.5</v>
      </c>
      <c r="I17" s="76">
        <v>42556</v>
      </c>
      <c r="J17" s="76">
        <f t="shared" si="6"/>
        <v>42616</v>
      </c>
      <c r="K17" s="74">
        <f t="shared" si="8"/>
        <v>125</v>
      </c>
      <c r="L17" s="74">
        <f t="shared" si="9"/>
        <v>7062.5</v>
      </c>
      <c r="M17" s="14">
        <v>7063</v>
      </c>
      <c r="N17" s="14" t="s">
        <v>597</v>
      </c>
      <c r="O17" s="14" t="s">
        <v>44</v>
      </c>
      <c r="P17" s="14" t="s">
        <v>45</v>
      </c>
    </row>
    <row r="18" spans="1:16" x14ac:dyDescent="0.2">
      <c r="A18" s="14" t="s">
        <v>458</v>
      </c>
      <c r="B18" s="14"/>
      <c r="C18" s="14" t="s">
        <v>142</v>
      </c>
      <c r="D18" s="14" t="s">
        <v>95</v>
      </c>
      <c r="E18" s="75" t="s">
        <v>457</v>
      </c>
      <c r="F18" s="74">
        <f t="shared" si="0"/>
        <v>9970.5</v>
      </c>
      <c r="G18" s="75">
        <f>3468*2.5</f>
        <v>8670</v>
      </c>
      <c r="H18" s="74">
        <f t="shared" si="7"/>
        <v>1300.5</v>
      </c>
      <c r="I18" s="76">
        <v>42638</v>
      </c>
      <c r="J18" s="76">
        <f t="shared" si="6"/>
        <v>42698</v>
      </c>
      <c r="K18" s="74">
        <f t="shared" si="8"/>
        <v>173.4</v>
      </c>
      <c r="L18" s="74">
        <f t="shared" si="9"/>
        <v>9797.1</v>
      </c>
      <c r="M18" s="14">
        <v>9797</v>
      </c>
      <c r="N18" s="14" t="s">
        <v>597</v>
      </c>
      <c r="O18" s="14" t="s">
        <v>44</v>
      </c>
      <c r="P18" s="14" t="s">
        <v>45</v>
      </c>
    </row>
    <row r="19" spans="1:16" x14ac:dyDescent="0.2">
      <c r="A19" s="14" t="s">
        <v>458</v>
      </c>
      <c r="B19" s="14"/>
      <c r="C19" s="14" t="s">
        <v>460</v>
      </c>
      <c r="D19" s="14" t="s">
        <v>461</v>
      </c>
      <c r="E19" s="75" t="s">
        <v>459</v>
      </c>
      <c r="F19" s="74">
        <f t="shared" si="0"/>
        <v>41400</v>
      </c>
      <c r="G19" s="75">
        <f>450000*0.08</f>
        <v>36000</v>
      </c>
      <c r="H19" s="74">
        <f t="shared" si="7"/>
        <v>5400</v>
      </c>
      <c r="I19" s="76">
        <v>42631</v>
      </c>
      <c r="J19" s="76">
        <f t="shared" si="6"/>
        <v>42691</v>
      </c>
      <c r="K19" s="74">
        <f t="shared" si="8"/>
        <v>720</v>
      </c>
      <c r="L19" s="74">
        <f t="shared" si="9"/>
        <v>40680</v>
      </c>
      <c r="M19" s="14">
        <v>40680</v>
      </c>
      <c r="N19" s="14" t="s">
        <v>597</v>
      </c>
      <c r="O19" s="14" t="s">
        <v>44</v>
      </c>
      <c r="P19" s="14" t="s">
        <v>45</v>
      </c>
    </row>
    <row r="20" spans="1:16" x14ac:dyDescent="0.2">
      <c r="A20" s="14" t="s">
        <v>499</v>
      </c>
      <c r="B20" s="14"/>
      <c r="C20" s="14" t="s">
        <v>139</v>
      </c>
      <c r="D20" s="14" t="s">
        <v>61</v>
      </c>
      <c r="E20" s="75" t="s">
        <v>498</v>
      </c>
      <c r="F20" s="74">
        <f t="shared" si="0"/>
        <v>263120</v>
      </c>
      <c r="G20" s="75">
        <f>2080000/1000*110</f>
        <v>228800</v>
      </c>
      <c r="H20" s="74">
        <f t="shared" si="7"/>
        <v>34320</v>
      </c>
      <c r="I20" s="76">
        <v>42666</v>
      </c>
      <c r="J20" s="76">
        <f t="shared" si="6"/>
        <v>42726</v>
      </c>
      <c r="K20" s="74">
        <f t="shared" si="8"/>
        <v>4576</v>
      </c>
      <c r="L20" s="74">
        <f t="shared" si="9"/>
        <v>258544</v>
      </c>
      <c r="M20" s="14">
        <v>258544</v>
      </c>
      <c r="N20" s="14" t="s">
        <v>851</v>
      </c>
      <c r="O20" s="14" t="s">
        <v>44</v>
      </c>
      <c r="P20" s="14" t="s">
        <v>45</v>
      </c>
    </row>
    <row r="21" spans="1:16" x14ac:dyDescent="0.2">
      <c r="A21" s="14" t="s">
        <v>506</v>
      </c>
      <c r="B21" s="14"/>
      <c r="C21" s="14" t="s">
        <v>508</v>
      </c>
      <c r="D21" s="14" t="s">
        <v>61</v>
      </c>
      <c r="E21" s="75" t="s">
        <v>507</v>
      </c>
      <c r="F21" s="74">
        <f t="shared" si="0"/>
        <v>87773.75</v>
      </c>
      <c r="G21" s="75">
        <v>76325</v>
      </c>
      <c r="H21" s="74">
        <f t="shared" si="7"/>
        <v>11448.75</v>
      </c>
      <c r="I21" s="76">
        <v>42671</v>
      </c>
      <c r="J21" s="76">
        <f t="shared" si="6"/>
        <v>42731</v>
      </c>
      <c r="K21" s="74">
        <f t="shared" si="8"/>
        <v>1526.5</v>
      </c>
      <c r="L21" s="74">
        <f t="shared" si="9"/>
        <v>86247.25</v>
      </c>
      <c r="M21" s="14">
        <v>86247</v>
      </c>
      <c r="N21" s="14" t="s">
        <v>862</v>
      </c>
      <c r="O21" s="14" t="s">
        <v>44</v>
      </c>
      <c r="P21" s="14" t="s">
        <v>45</v>
      </c>
    </row>
    <row r="22" spans="1:16" x14ac:dyDescent="0.2">
      <c r="A22" s="14" t="s">
        <v>506</v>
      </c>
      <c r="B22" s="14"/>
      <c r="C22" s="14" t="s">
        <v>509</v>
      </c>
      <c r="D22" s="14" t="s">
        <v>61</v>
      </c>
      <c r="E22" s="75" t="s">
        <v>510</v>
      </c>
      <c r="F22" s="74">
        <f t="shared" si="0"/>
        <v>103500</v>
      </c>
      <c r="G22" s="75">
        <v>90000</v>
      </c>
      <c r="H22" s="74">
        <f t="shared" si="7"/>
        <v>13500</v>
      </c>
      <c r="I22" s="76">
        <v>42686</v>
      </c>
      <c r="J22" s="76">
        <f t="shared" si="6"/>
        <v>42746</v>
      </c>
      <c r="K22" s="74">
        <f t="shared" si="8"/>
        <v>1800</v>
      </c>
      <c r="L22" s="74">
        <f t="shared" si="9"/>
        <v>101700</v>
      </c>
      <c r="M22" s="14">
        <v>101700</v>
      </c>
      <c r="N22" s="14" t="s">
        <v>851</v>
      </c>
      <c r="O22" s="14" t="s">
        <v>44</v>
      </c>
      <c r="P22" s="14" t="s">
        <v>45</v>
      </c>
    </row>
    <row r="23" spans="1:16" x14ac:dyDescent="0.2">
      <c r="A23" s="14" t="s">
        <v>628</v>
      </c>
      <c r="B23" s="14"/>
      <c r="C23" s="14" t="s">
        <v>587</v>
      </c>
      <c r="D23" s="14" t="s">
        <v>95</v>
      </c>
      <c r="E23" s="75" t="s">
        <v>627</v>
      </c>
      <c r="F23" s="74">
        <f t="shared" si="0"/>
        <v>3038.3</v>
      </c>
      <c r="G23" s="75">
        <v>2642</v>
      </c>
      <c r="H23" s="74">
        <f t="shared" si="5"/>
        <v>396.3</v>
      </c>
      <c r="I23" s="76">
        <v>43083</v>
      </c>
      <c r="J23" s="76">
        <f t="shared" si="6"/>
        <v>43143</v>
      </c>
      <c r="K23" s="74">
        <f t="shared" si="2"/>
        <v>52.84</v>
      </c>
      <c r="L23" s="74">
        <f t="shared" si="3"/>
        <v>2985.46</v>
      </c>
      <c r="M23" s="14">
        <v>2985</v>
      </c>
      <c r="N23" s="14" t="s">
        <v>862</v>
      </c>
      <c r="O23" s="14" t="s">
        <v>44</v>
      </c>
      <c r="P23" s="14" t="s">
        <v>45</v>
      </c>
    </row>
    <row r="24" spans="1:16" x14ac:dyDescent="0.2">
      <c r="A24" s="14" t="s">
        <v>628</v>
      </c>
      <c r="B24" s="14"/>
      <c r="C24" s="14" t="s">
        <v>630</v>
      </c>
      <c r="D24" s="14" t="s">
        <v>95</v>
      </c>
      <c r="E24" s="75" t="s">
        <v>629</v>
      </c>
      <c r="F24" s="74">
        <f t="shared" si="0"/>
        <v>70599.649999999994</v>
      </c>
      <c r="G24" s="75">
        <v>61391</v>
      </c>
      <c r="H24" s="74">
        <f t="shared" si="5"/>
        <v>9208.65</v>
      </c>
      <c r="I24" s="76">
        <v>43087</v>
      </c>
      <c r="J24" s="76">
        <f t="shared" si="6"/>
        <v>43147</v>
      </c>
      <c r="K24" s="74">
        <f t="shared" si="2"/>
        <v>1227.82</v>
      </c>
      <c r="L24" s="74">
        <f t="shared" si="3"/>
        <v>69371.829999999987</v>
      </c>
      <c r="M24" s="14">
        <v>69372</v>
      </c>
      <c r="N24" s="14" t="s">
        <v>862</v>
      </c>
      <c r="O24" s="14" t="s">
        <v>44</v>
      </c>
      <c r="P24" s="14" t="s">
        <v>45</v>
      </c>
    </row>
    <row r="25" spans="1:16" x14ac:dyDescent="0.2">
      <c r="A25" s="14" t="s">
        <v>756</v>
      </c>
      <c r="B25" s="14"/>
      <c r="C25" s="14" t="s">
        <v>755</v>
      </c>
      <c r="D25" s="14" t="s">
        <v>95</v>
      </c>
      <c r="E25" s="75" t="s">
        <v>754</v>
      </c>
      <c r="F25" s="74">
        <f t="shared" si="0"/>
        <v>8735.4</v>
      </c>
      <c r="G25" s="75">
        <v>7596</v>
      </c>
      <c r="H25" s="74">
        <f t="shared" si="5"/>
        <v>1139.3999999999999</v>
      </c>
      <c r="I25" s="76">
        <v>42781</v>
      </c>
      <c r="J25" s="76">
        <f t="shared" si="6"/>
        <v>42841</v>
      </c>
      <c r="K25" s="74">
        <f t="shared" si="2"/>
        <v>151.92000000000002</v>
      </c>
      <c r="L25" s="74">
        <f t="shared" si="3"/>
        <v>8583.48</v>
      </c>
      <c r="M25" s="14">
        <v>8583</v>
      </c>
      <c r="N25" s="14" t="s">
        <v>862</v>
      </c>
      <c r="O25" s="14" t="s">
        <v>44</v>
      </c>
      <c r="P25" s="14" t="s">
        <v>45</v>
      </c>
    </row>
    <row r="26" spans="1:16" x14ac:dyDescent="0.2">
      <c r="A26" s="17"/>
      <c r="B26" s="17"/>
      <c r="C26" s="17"/>
      <c r="D26" s="17"/>
      <c r="E26" s="44"/>
      <c r="F26" s="41">
        <f t="shared" si="0"/>
        <v>0</v>
      </c>
      <c r="G26" s="44"/>
      <c r="H26" s="41">
        <f t="shared" si="5"/>
        <v>0</v>
      </c>
      <c r="I26" s="17"/>
      <c r="J26" s="78">
        <f t="shared" si="6"/>
        <v>60</v>
      </c>
      <c r="K26" s="41">
        <f t="shared" si="2"/>
        <v>0</v>
      </c>
      <c r="L26" s="41">
        <f t="shared" si="3"/>
        <v>0</v>
      </c>
      <c r="M26" s="17"/>
      <c r="N26" s="17"/>
      <c r="O26" s="17"/>
      <c r="P26" s="17"/>
    </row>
    <row r="28" spans="1:16" ht="23.25" x14ac:dyDescent="0.35">
      <c r="E28" s="46" t="s">
        <v>38</v>
      </c>
      <c r="F28" s="33">
        <f>SUM(F2:F26)</f>
        <v>1801132.2039999997</v>
      </c>
      <c r="G28" s="33">
        <f>SUM(G2:G26)</f>
        <v>1567639.96</v>
      </c>
      <c r="H28" s="33">
        <f>SUM(H2:H26)</f>
        <v>233492.24399999998</v>
      </c>
      <c r="I28" s="32"/>
      <c r="K28" s="33">
        <f>SUM(K2:K26)</f>
        <v>31352.799199999998</v>
      </c>
      <c r="L28" s="33">
        <f>SUM(L2:L26)</f>
        <v>1769779.4048000001</v>
      </c>
      <c r="M28" s="33">
        <f>SUM(M2:M26)</f>
        <v>1767972</v>
      </c>
    </row>
    <row r="29" spans="1:16" ht="18.75" x14ac:dyDescent="0.3">
      <c r="E29" s="48" t="s">
        <v>39</v>
      </c>
      <c r="N29" s="5">
        <v>221825</v>
      </c>
      <c r="O29" s="5">
        <v>1808</v>
      </c>
    </row>
    <row r="30" spans="1:16" x14ac:dyDescent="0.2">
      <c r="M30" s="5">
        <f>SUM(M3:M14)</f>
        <v>985052</v>
      </c>
    </row>
    <row r="31" spans="1:16" ht="15" x14ac:dyDescent="0.25">
      <c r="I31" s="224">
        <v>147954</v>
      </c>
      <c r="K31" s="32">
        <f>L5+L13</f>
        <v>84525</v>
      </c>
      <c r="M31" s="5">
        <v>213254</v>
      </c>
      <c r="N31" s="5">
        <v>28440</v>
      </c>
    </row>
    <row r="32" spans="1:16" x14ac:dyDescent="0.2">
      <c r="I32" s="5">
        <f>I31*2%</f>
        <v>2959.08</v>
      </c>
      <c r="K32" s="32">
        <v>28440</v>
      </c>
      <c r="M32" s="5">
        <f>M31-M30</f>
        <v>-771798</v>
      </c>
      <c r="N32" s="32">
        <f>SUM(L16,L4)</f>
        <v>64787.5</v>
      </c>
    </row>
    <row r="33" spans="9:14" x14ac:dyDescent="0.2">
      <c r="I33" s="5">
        <f>170147-I32</f>
        <v>167187.92000000001</v>
      </c>
      <c r="K33" s="32">
        <f>K32-K31</f>
        <v>-56085</v>
      </c>
      <c r="N33" s="32">
        <f>N31-N32</f>
        <v>-36347.5</v>
      </c>
    </row>
    <row r="35" spans="9:14" x14ac:dyDescent="0.2">
      <c r="N35" s="32">
        <f>8362-172</f>
        <v>8190</v>
      </c>
    </row>
  </sheetData>
  <hyperlinks>
    <hyperlink ref="E28" location="HOME!A1" display="HOME" xr:uid="{00000000-0004-0000-0600-000000000000}"/>
    <hyperlink ref="E29" location="MONTHWISE!A1" display="Monthwise" xr:uid="{00000000-0004-0000-0600-000001000000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P74"/>
  <sheetViews>
    <sheetView workbookViewId="0">
      <pane ySplit="2" topLeftCell="A48" activePane="bottomLeft" state="frozen"/>
      <selection pane="bottomLeft" activeCell="O62" sqref="O62:P63"/>
    </sheetView>
  </sheetViews>
  <sheetFormatPr defaultColWidth="9.140625" defaultRowHeight="15" x14ac:dyDescent="0.25"/>
  <cols>
    <col min="1" max="1" width="13.42578125" style="5" bestFit="1" customWidth="1"/>
    <col min="2" max="2" width="14.42578125" style="87" bestFit="1" customWidth="1"/>
    <col min="3" max="3" width="17.7109375" style="5" bestFit="1" customWidth="1"/>
    <col min="4" max="4" width="5.5703125" style="5" bestFit="1" customWidth="1"/>
    <col min="5" max="5" width="22" style="5" bestFit="1" customWidth="1"/>
    <col min="6" max="6" width="10.42578125" style="32" bestFit="1" customWidth="1"/>
    <col min="7" max="7" width="9.28515625" style="32" bestFit="1" customWidth="1"/>
    <col min="8" max="8" width="8.7109375" style="32" bestFit="1" customWidth="1"/>
    <col min="9" max="9" width="10.7109375" style="5" bestFit="1" customWidth="1"/>
    <col min="10" max="10" width="9.28515625" style="5" bestFit="1" customWidth="1"/>
    <col min="11" max="11" width="6.5703125" style="32" bestFit="1" customWidth="1"/>
    <col min="12" max="12" width="12.140625" style="32" bestFit="1" customWidth="1"/>
    <col min="13" max="13" width="13.5703125" style="32" bestFit="1" customWidth="1"/>
    <col min="14" max="14" width="14.85546875" style="5" bestFit="1" customWidth="1"/>
    <col min="15" max="15" width="5.5703125" style="5" bestFit="1" customWidth="1"/>
    <col min="16" max="16" width="8.5703125" style="5" bestFit="1" customWidth="1"/>
    <col min="17" max="17" width="11.5703125" style="5" customWidth="1"/>
    <col min="18" max="16384" width="9.140625" style="5"/>
  </cols>
  <sheetData>
    <row r="1" spans="1:16" ht="13.5" thickBot="1" x14ac:dyDescent="0.25">
      <c r="A1" s="80" t="s">
        <v>23</v>
      </c>
      <c r="B1" s="81" t="s">
        <v>24</v>
      </c>
      <c r="C1" s="81" t="s">
        <v>25</v>
      </c>
      <c r="D1" s="81" t="s">
        <v>26</v>
      </c>
      <c r="E1" s="81" t="s">
        <v>27</v>
      </c>
      <c r="F1" s="82" t="s">
        <v>28</v>
      </c>
      <c r="G1" s="82" t="s">
        <v>29</v>
      </c>
      <c r="H1" s="82" t="s">
        <v>30</v>
      </c>
      <c r="I1" s="81" t="s">
        <v>31</v>
      </c>
      <c r="J1" s="81" t="s">
        <v>32</v>
      </c>
      <c r="K1" s="82" t="s">
        <v>33</v>
      </c>
      <c r="L1" s="82" t="s">
        <v>20</v>
      </c>
      <c r="M1" s="82" t="s">
        <v>34</v>
      </c>
      <c r="N1" s="82" t="s">
        <v>35</v>
      </c>
      <c r="O1" s="82" t="s">
        <v>36</v>
      </c>
      <c r="P1" s="81" t="s">
        <v>37</v>
      </c>
    </row>
    <row r="2" spans="1:16" s="51" customFormat="1" ht="23.25" x14ac:dyDescent="0.35">
      <c r="A2" s="52" t="s">
        <v>38</v>
      </c>
      <c r="B2" s="48" t="s">
        <v>39</v>
      </c>
      <c r="C2" s="53"/>
      <c r="D2" s="53"/>
      <c r="E2" s="53"/>
      <c r="F2" s="54">
        <f>SUM(F3:F71)</f>
        <v>3094701.85335</v>
      </c>
      <c r="G2" s="54">
        <f>SUM(G3:G71)</f>
        <v>2694391.05</v>
      </c>
      <c r="H2" s="54">
        <f>SUM(H3:H71)</f>
        <v>400310.80334999994</v>
      </c>
      <c r="I2" s="53"/>
      <c r="J2" s="53"/>
      <c r="K2" s="54">
        <f>SUM(K3:K71)</f>
        <v>53887.821000000011</v>
      </c>
      <c r="L2" s="54">
        <f>SUM(L3:L71)</f>
        <v>3040814.03235</v>
      </c>
      <c r="M2" s="54">
        <f>SUM(M3:M71)</f>
        <v>3040824</v>
      </c>
      <c r="N2" s="54"/>
      <c r="O2" s="55"/>
      <c r="P2" s="56"/>
    </row>
    <row r="3" spans="1:16" ht="12.75" x14ac:dyDescent="0.2">
      <c r="A3" s="14" t="s">
        <v>138</v>
      </c>
      <c r="B3" s="14"/>
      <c r="C3" s="167" t="s">
        <v>174</v>
      </c>
      <c r="D3" s="167" t="s">
        <v>61</v>
      </c>
      <c r="E3" s="181" t="s">
        <v>175</v>
      </c>
      <c r="F3" s="75">
        <f>SUM(G3:H3)</f>
        <v>25762.5</v>
      </c>
      <c r="G3" s="174">
        <f>500000/1000*45</f>
        <v>22500</v>
      </c>
      <c r="H3" s="75">
        <f>G3*14.5%</f>
        <v>3262.5</v>
      </c>
      <c r="I3" s="94">
        <v>42399</v>
      </c>
      <c r="J3" s="76">
        <f>I3+90</f>
        <v>42489</v>
      </c>
      <c r="K3" s="75">
        <f>G3*2%</f>
        <v>450</v>
      </c>
      <c r="L3" s="75">
        <f>F3-K3</f>
        <v>25312.5</v>
      </c>
      <c r="M3" s="211">
        <v>25313</v>
      </c>
      <c r="N3" s="14" t="s">
        <v>529</v>
      </c>
      <c r="O3" s="77" t="s">
        <v>44</v>
      </c>
      <c r="P3" s="77">
        <v>314</v>
      </c>
    </row>
    <row r="4" spans="1:16" x14ac:dyDescent="0.25">
      <c r="A4" s="14" t="s">
        <v>138</v>
      </c>
      <c r="B4" s="210"/>
      <c r="C4" s="167" t="s">
        <v>176</v>
      </c>
      <c r="D4" s="167" t="s">
        <v>61</v>
      </c>
      <c r="E4" s="181" t="s">
        <v>177</v>
      </c>
      <c r="F4" s="75">
        <f t="shared" ref="F4:F71" si="0">SUM(G4:H4)</f>
        <v>48948.75</v>
      </c>
      <c r="G4" s="174">
        <f>950000/1000*45</f>
        <v>42750</v>
      </c>
      <c r="H4" s="75">
        <f t="shared" ref="H4:H16" si="1">G4*14.5%</f>
        <v>6198.75</v>
      </c>
      <c r="I4" s="94">
        <v>42422</v>
      </c>
      <c r="J4" s="76">
        <f t="shared" ref="J4:J71" si="2">I4+90</f>
        <v>42512</v>
      </c>
      <c r="K4" s="75">
        <f t="shared" ref="K4:K71" si="3">G4*2%</f>
        <v>855</v>
      </c>
      <c r="L4" s="75">
        <f t="shared" ref="L4:L71" si="4">F4-K4</f>
        <v>48093.75</v>
      </c>
      <c r="M4" s="211">
        <v>48094</v>
      </c>
      <c r="N4" s="14" t="s">
        <v>529</v>
      </c>
      <c r="O4" s="77" t="s">
        <v>44</v>
      </c>
      <c r="P4" s="77">
        <v>314</v>
      </c>
    </row>
    <row r="5" spans="1:16" x14ac:dyDescent="0.25">
      <c r="A5" s="14" t="s">
        <v>138</v>
      </c>
      <c r="B5" s="210"/>
      <c r="C5" s="167" t="s">
        <v>178</v>
      </c>
      <c r="D5" s="167" t="s">
        <v>61</v>
      </c>
      <c r="E5" s="181" t="s">
        <v>179</v>
      </c>
      <c r="F5" s="75">
        <f t="shared" si="0"/>
        <v>5741.6368499999999</v>
      </c>
      <c r="G5" s="174">
        <f>111434/1000*45</f>
        <v>5014.53</v>
      </c>
      <c r="H5" s="75">
        <f t="shared" si="1"/>
        <v>727.10684999999989</v>
      </c>
      <c r="I5" s="94">
        <v>42412</v>
      </c>
      <c r="J5" s="76">
        <f t="shared" si="2"/>
        <v>42502</v>
      </c>
      <c r="K5" s="75">
        <f t="shared" si="3"/>
        <v>100.2906</v>
      </c>
      <c r="L5" s="75">
        <f t="shared" si="4"/>
        <v>5641.3462499999996</v>
      </c>
      <c r="M5" s="211">
        <v>5641</v>
      </c>
      <c r="N5" s="14" t="s">
        <v>529</v>
      </c>
      <c r="O5" s="77" t="s">
        <v>44</v>
      </c>
      <c r="P5" s="77">
        <v>314</v>
      </c>
    </row>
    <row r="6" spans="1:16" x14ac:dyDescent="0.25">
      <c r="A6" s="14" t="s">
        <v>138</v>
      </c>
      <c r="B6" s="210"/>
      <c r="C6" s="167" t="s">
        <v>180</v>
      </c>
      <c r="D6" s="167" t="s">
        <v>61</v>
      </c>
      <c r="E6" s="181" t="s">
        <v>181</v>
      </c>
      <c r="F6" s="75">
        <f t="shared" si="0"/>
        <v>16075.8</v>
      </c>
      <c r="G6" s="174">
        <f>312000/1000*45</f>
        <v>14040</v>
      </c>
      <c r="H6" s="75">
        <f t="shared" si="1"/>
        <v>2035.8</v>
      </c>
      <c r="I6" s="94">
        <v>42447</v>
      </c>
      <c r="J6" s="76">
        <f t="shared" si="2"/>
        <v>42537</v>
      </c>
      <c r="K6" s="75">
        <f t="shared" si="3"/>
        <v>280.8</v>
      </c>
      <c r="L6" s="75">
        <f t="shared" si="4"/>
        <v>15795</v>
      </c>
      <c r="M6" s="211">
        <v>15795</v>
      </c>
      <c r="N6" s="14" t="s">
        <v>529</v>
      </c>
      <c r="O6" s="77" t="s">
        <v>44</v>
      </c>
      <c r="P6" s="77">
        <v>314</v>
      </c>
    </row>
    <row r="7" spans="1:16" ht="12.75" x14ac:dyDescent="0.2">
      <c r="A7" s="14" t="s">
        <v>138</v>
      </c>
      <c r="B7" s="14"/>
      <c r="C7" s="167" t="s">
        <v>182</v>
      </c>
      <c r="D7" s="167" t="s">
        <v>61</v>
      </c>
      <c r="E7" s="181" t="s">
        <v>183</v>
      </c>
      <c r="F7" s="75">
        <f t="shared" si="0"/>
        <v>33956.263124999998</v>
      </c>
      <c r="G7" s="174">
        <f>SUM(500000+159025)/1000*45</f>
        <v>29656.125</v>
      </c>
      <c r="H7" s="75">
        <f t="shared" si="1"/>
        <v>4300.1381249999995</v>
      </c>
      <c r="I7" s="94">
        <v>42459</v>
      </c>
      <c r="J7" s="76">
        <f t="shared" si="2"/>
        <v>42549</v>
      </c>
      <c r="K7" s="75">
        <f t="shared" si="3"/>
        <v>593.12250000000006</v>
      </c>
      <c r="L7" s="75">
        <f t="shared" si="4"/>
        <v>33363.140625</v>
      </c>
      <c r="M7" s="211">
        <v>33363</v>
      </c>
      <c r="N7" s="14" t="s">
        <v>397</v>
      </c>
      <c r="O7" s="77" t="s">
        <v>44</v>
      </c>
      <c r="P7" s="14">
        <v>343</v>
      </c>
    </row>
    <row r="8" spans="1:16" ht="12.75" x14ac:dyDescent="0.2">
      <c r="A8" s="14" t="s">
        <v>184</v>
      </c>
      <c r="B8" s="14"/>
      <c r="C8" s="167" t="s">
        <v>185</v>
      </c>
      <c r="D8" s="167" t="s">
        <v>61</v>
      </c>
      <c r="E8" s="181" t="s">
        <v>186</v>
      </c>
      <c r="F8" s="75">
        <f t="shared" si="0"/>
        <v>43967.982824999999</v>
      </c>
      <c r="G8" s="174">
        <f>853333/1000*45</f>
        <v>38399.985000000001</v>
      </c>
      <c r="H8" s="75">
        <f t="shared" si="1"/>
        <v>5567.9978249999995</v>
      </c>
      <c r="I8" s="94">
        <v>42471</v>
      </c>
      <c r="J8" s="76">
        <f t="shared" si="2"/>
        <v>42561</v>
      </c>
      <c r="K8" s="75">
        <f t="shared" si="3"/>
        <v>767.99970000000008</v>
      </c>
      <c r="L8" s="75">
        <f t="shared" si="4"/>
        <v>43199.983124999999</v>
      </c>
      <c r="M8" s="211">
        <v>43200</v>
      </c>
      <c r="N8" s="14" t="s">
        <v>397</v>
      </c>
      <c r="O8" s="77" t="s">
        <v>44</v>
      </c>
      <c r="P8" s="14">
        <v>343</v>
      </c>
    </row>
    <row r="9" spans="1:16" ht="12.75" x14ac:dyDescent="0.2">
      <c r="A9" s="14" t="s">
        <v>119</v>
      </c>
      <c r="B9" s="14"/>
      <c r="C9" s="167" t="s">
        <v>187</v>
      </c>
      <c r="D9" s="167" t="s">
        <v>61</v>
      </c>
      <c r="E9" s="181" t="s">
        <v>188</v>
      </c>
      <c r="F9" s="75">
        <f t="shared" si="0"/>
        <v>38069.658450000003</v>
      </c>
      <c r="G9" s="174">
        <f>738858/1000*45</f>
        <v>33248.61</v>
      </c>
      <c r="H9" s="75">
        <f t="shared" si="1"/>
        <v>4821.0484499999993</v>
      </c>
      <c r="I9" s="94">
        <v>42472</v>
      </c>
      <c r="J9" s="76">
        <f t="shared" si="2"/>
        <v>42562</v>
      </c>
      <c r="K9" s="75">
        <f t="shared" si="3"/>
        <v>664.97220000000004</v>
      </c>
      <c r="L9" s="75">
        <f t="shared" si="4"/>
        <v>37404.686250000006</v>
      </c>
      <c r="M9" s="211">
        <v>37405</v>
      </c>
      <c r="N9" s="14" t="s">
        <v>397</v>
      </c>
      <c r="O9" s="77" t="s">
        <v>44</v>
      </c>
      <c r="P9" s="14">
        <v>343</v>
      </c>
    </row>
    <row r="10" spans="1:16" ht="12.75" x14ac:dyDescent="0.2">
      <c r="A10" s="14" t="s">
        <v>184</v>
      </c>
      <c r="B10" s="14"/>
      <c r="C10" s="167" t="s">
        <v>189</v>
      </c>
      <c r="D10" s="167" t="s">
        <v>61</v>
      </c>
      <c r="E10" s="181" t="s">
        <v>190</v>
      </c>
      <c r="F10" s="75">
        <f t="shared" si="0"/>
        <v>283387.5</v>
      </c>
      <c r="G10" s="174">
        <f>5500000/1000*45</f>
        <v>247500</v>
      </c>
      <c r="H10" s="75">
        <f t="shared" si="1"/>
        <v>35887.5</v>
      </c>
      <c r="I10" s="94">
        <v>42471</v>
      </c>
      <c r="J10" s="76">
        <f t="shared" si="2"/>
        <v>42561</v>
      </c>
      <c r="K10" s="75">
        <f t="shared" si="3"/>
        <v>4950</v>
      </c>
      <c r="L10" s="75">
        <f t="shared" si="4"/>
        <v>278437.5</v>
      </c>
      <c r="M10" s="211">
        <v>278438</v>
      </c>
      <c r="N10" s="14" t="s">
        <v>397</v>
      </c>
      <c r="O10" s="77" t="s">
        <v>44</v>
      </c>
      <c r="P10" s="14">
        <v>343</v>
      </c>
    </row>
    <row r="11" spans="1:16" ht="12.75" x14ac:dyDescent="0.2">
      <c r="A11" s="14" t="s">
        <v>191</v>
      </c>
      <c r="B11" s="14"/>
      <c r="C11" s="167" t="s">
        <v>192</v>
      </c>
      <c r="D11" s="167" t="s">
        <v>95</v>
      </c>
      <c r="E11" s="14" t="s">
        <v>193</v>
      </c>
      <c r="F11" s="75">
        <f t="shared" si="0"/>
        <v>8587.5</v>
      </c>
      <c r="G11" s="174">
        <f>1500*5</f>
        <v>7500</v>
      </c>
      <c r="H11" s="75">
        <f t="shared" si="1"/>
        <v>1087.5</v>
      </c>
      <c r="I11" s="94">
        <v>42467</v>
      </c>
      <c r="J11" s="76">
        <f t="shared" si="2"/>
        <v>42557</v>
      </c>
      <c r="K11" s="75">
        <f t="shared" si="3"/>
        <v>150</v>
      </c>
      <c r="L11" s="75">
        <f t="shared" si="4"/>
        <v>8437.5</v>
      </c>
      <c r="M11" s="211">
        <v>8438</v>
      </c>
      <c r="N11" s="14" t="s">
        <v>397</v>
      </c>
      <c r="O11" s="77" t="s">
        <v>44</v>
      </c>
      <c r="P11" s="14">
        <v>343</v>
      </c>
    </row>
    <row r="12" spans="1:16" ht="12.75" x14ac:dyDescent="0.2">
      <c r="A12" s="14" t="s">
        <v>119</v>
      </c>
      <c r="B12" s="14"/>
      <c r="C12" s="167" t="s">
        <v>194</v>
      </c>
      <c r="D12" s="167" t="s">
        <v>95</v>
      </c>
      <c r="E12" s="14" t="s">
        <v>195</v>
      </c>
      <c r="F12" s="75">
        <f t="shared" si="0"/>
        <v>1717.5</v>
      </c>
      <c r="G12" s="174">
        <f>300*5</f>
        <v>1500</v>
      </c>
      <c r="H12" s="75">
        <f t="shared" si="1"/>
        <v>217.49999999999997</v>
      </c>
      <c r="I12" s="94">
        <v>42472</v>
      </c>
      <c r="J12" s="76">
        <f t="shared" si="2"/>
        <v>42562</v>
      </c>
      <c r="K12" s="75">
        <f t="shared" si="3"/>
        <v>30</v>
      </c>
      <c r="L12" s="75">
        <f t="shared" si="4"/>
        <v>1687.5</v>
      </c>
      <c r="M12" s="211">
        <v>1688</v>
      </c>
      <c r="N12" s="14" t="s">
        <v>397</v>
      </c>
      <c r="O12" s="77" t="s">
        <v>44</v>
      </c>
      <c r="P12" s="14">
        <v>343</v>
      </c>
    </row>
    <row r="13" spans="1:16" ht="12.75" x14ac:dyDescent="0.2">
      <c r="A13" s="14" t="s">
        <v>53</v>
      </c>
      <c r="B13" s="14"/>
      <c r="C13" s="14" t="s">
        <v>196</v>
      </c>
      <c r="D13" s="14" t="s">
        <v>61</v>
      </c>
      <c r="E13" s="181" t="s">
        <v>197</v>
      </c>
      <c r="F13" s="75">
        <f t="shared" si="0"/>
        <v>199758.5091</v>
      </c>
      <c r="G13" s="75">
        <f>3876924/1000*45</f>
        <v>174461.58</v>
      </c>
      <c r="H13" s="75">
        <f t="shared" si="1"/>
        <v>25296.929099999998</v>
      </c>
      <c r="I13" s="76">
        <v>42485</v>
      </c>
      <c r="J13" s="76">
        <f t="shared" si="2"/>
        <v>42575</v>
      </c>
      <c r="K13" s="75">
        <f t="shared" si="3"/>
        <v>3489.2315999999996</v>
      </c>
      <c r="L13" s="75">
        <f t="shared" si="4"/>
        <v>196269.2775</v>
      </c>
      <c r="M13" s="211">
        <v>196270</v>
      </c>
      <c r="N13" s="14" t="s">
        <v>397</v>
      </c>
      <c r="O13" s="77" t="s">
        <v>44</v>
      </c>
      <c r="P13" s="14">
        <v>343</v>
      </c>
    </row>
    <row r="14" spans="1:16" ht="12.75" x14ac:dyDescent="0.2">
      <c r="A14" s="14" t="s">
        <v>141</v>
      </c>
      <c r="B14" s="14"/>
      <c r="C14" s="14" t="s">
        <v>198</v>
      </c>
      <c r="D14" s="14" t="s">
        <v>61</v>
      </c>
      <c r="E14" s="181" t="s">
        <v>199</v>
      </c>
      <c r="F14" s="75">
        <f t="shared" si="0"/>
        <v>25762.5</v>
      </c>
      <c r="G14" s="75">
        <v>22500</v>
      </c>
      <c r="H14" s="75">
        <f t="shared" si="1"/>
        <v>3262.5</v>
      </c>
      <c r="I14" s="76">
        <v>42490</v>
      </c>
      <c r="J14" s="76">
        <f t="shared" si="2"/>
        <v>42580</v>
      </c>
      <c r="K14" s="75">
        <f t="shared" si="3"/>
        <v>450</v>
      </c>
      <c r="L14" s="75">
        <f t="shared" si="4"/>
        <v>25312.5</v>
      </c>
      <c r="M14" s="211">
        <v>25313</v>
      </c>
      <c r="N14" s="14" t="s">
        <v>397</v>
      </c>
      <c r="O14" s="77" t="s">
        <v>44</v>
      </c>
      <c r="P14" s="14">
        <v>343</v>
      </c>
    </row>
    <row r="15" spans="1:16" ht="12.75" x14ac:dyDescent="0.2">
      <c r="A15" s="14" t="s">
        <v>141</v>
      </c>
      <c r="B15" s="14"/>
      <c r="C15" s="14" t="s">
        <v>200</v>
      </c>
      <c r="D15" s="14" t="s">
        <v>61</v>
      </c>
      <c r="E15" s="181" t="s">
        <v>201</v>
      </c>
      <c r="F15" s="75">
        <f t="shared" si="0"/>
        <v>77287.5</v>
      </c>
      <c r="G15" s="75">
        <v>67500</v>
      </c>
      <c r="H15" s="75">
        <f t="shared" si="1"/>
        <v>9787.5</v>
      </c>
      <c r="I15" s="76"/>
      <c r="J15" s="76">
        <f t="shared" si="2"/>
        <v>90</v>
      </c>
      <c r="K15" s="75">
        <f t="shared" si="3"/>
        <v>1350</v>
      </c>
      <c r="L15" s="75">
        <f t="shared" si="4"/>
        <v>75937.5</v>
      </c>
      <c r="M15" s="75">
        <v>75938</v>
      </c>
      <c r="N15" s="14" t="s">
        <v>480</v>
      </c>
      <c r="O15" s="10" t="s">
        <v>44</v>
      </c>
      <c r="P15" s="68">
        <v>356</v>
      </c>
    </row>
    <row r="16" spans="1:16" ht="12.75" x14ac:dyDescent="0.2">
      <c r="A16" s="14" t="s">
        <v>202</v>
      </c>
      <c r="B16" s="14"/>
      <c r="C16" s="14" t="s">
        <v>203</v>
      </c>
      <c r="D16" s="14" t="s">
        <v>61</v>
      </c>
      <c r="E16" s="181" t="s">
        <v>204</v>
      </c>
      <c r="F16" s="75">
        <f t="shared" si="0"/>
        <v>72135</v>
      </c>
      <c r="G16" s="75">
        <v>63000</v>
      </c>
      <c r="H16" s="75">
        <f t="shared" si="1"/>
        <v>9135</v>
      </c>
      <c r="I16" s="76">
        <v>42512</v>
      </c>
      <c r="J16" s="76">
        <f t="shared" si="2"/>
        <v>42602</v>
      </c>
      <c r="K16" s="75">
        <f t="shared" si="3"/>
        <v>1260</v>
      </c>
      <c r="L16" s="75">
        <f t="shared" si="4"/>
        <v>70875</v>
      </c>
      <c r="M16" s="75">
        <v>70875</v>
      </c>
      <c r="N16" s="14" t="s">
        <v>480</v>
      </c>
      <c r="O16" s="10" t="s">
        <v>44</v>
      </c>
      <c r="P16" s="68">
        <v>356</v>
      </c>
    </row>
    <row r="17" spans="1:16" ht="12.75" x14ac:dyDescent="0.2">
      <c r="A17" s="14" t="s">
        <v>205</v>
      </c>
      <c r="B17" s="14"/>
      <c r="C17" s="14" t="s">
        <v>206</v>
      </c>
      <c r="D17" s="14" t="s">
        <v>95</v>
      </c>
      <c r="E17" s="181" t="s">
        <v>207</v>
      </c>
      <c r="F17" s="75">
        <f t="shared" si="0"/>
        <v>2875</v>
      </c>
      <c r="G17" s="75">
        <f>500*5</f>
        <v>2500</v>
      </c>
      <c r="H17" s="75">
        <f>G17*15%</f>
        <v>375</v>
      </c>
      <c r="I17" s="76"/>
      <c r="J17" s="76" t="s">
        <v>153</v>
      </c>
      <c r="K17" s="75">
        <f t="shared" si="3"/>
        <v>50</v>
      </c>
      <c r="L17" s="75">
        <f t="shared" si="4"/>
        <v>2825</v>
      </c>
      <c r="M17" s="75">
        <v>2825</v>
      </c>
      <c r="N17" s="14" t="s">
        <v>480</v>
      </c>
      <c r="O17" s="10" t="s">
        <v>44</v>
      </c>
      <c r="P17" s="68">
        <v>356</v>
      </c>
    </row>
    <row r="18" spans="1:16" ht="12.75" x14ac:dyDescent="0.2">
      <c r="A18" s="14" t="s">
        <v>205</v>
      </c>
      <c r="B18" s="14"/>
      <c r="C18" s="14" t="s">
        <v>208</v>
      </c>
      <c r="D18" s="14" t="s">
        <v>95</v>
      </c>
      <c r="E18" s="181" t="s">
        <v>209</v>
      </c>
      <c r="F18" s="75">
        <f t="shared" si="0"/>
        <v>2875</v>
      </c>
      <c r="G18" s="75">
        <f>500*5</f>
        <v>2500</v>
      </c>
      <c r="H18" s="75">
        <f t="shared" ref="H18:H71" si="5">G18*15%</f>
        <v>375</v>
      </c>
      <c r="I18" s="76"/>
      <c r="J18" s="76" t="s">
        <v>153</v>
      </c>
      <c r="K18" s="75">
        <f t="shared" si="3"/>
        <v>50</v>
      </c>
      <c r="L18" s="75">
        <f t="shared" si="4"/>
        <v>2825</v>
      </c>
      <c r="M18" s="75">
        <v>2825</v>
      </c>
      <c r="N18" s="14" t="s">
        <v>480</v>
      </c>
      <c r="O18" s="10" t="s">
        <v>44</v>
      </c>
      <c r="P18" s="68">
        <v>356</v>
      </c>
    </row>
    <row r="19" spans="1:16" ht="12.75" x14ac:dyDescent="0.2">
      <c r="A19" s="14" t="s">
        <v>205</v>
      </c>
      <c r="B19" s="14"/>
      <c r="C19" s="14" t="s">
        <v>210</v>
      </c>
      <c r="D19" s="14" t="s">
        <v>61</v>
      </c>
      <c r="E19" s="181" t="s">
        <v>211</v>
      </c>
      <c r="F19" s="75">
        <f t="shared" si="0"/>
        <v>32343.75</v>
      </c>
      <c r="G19" s="75">
        <f>625000/1000*45</f>
        <v>28125</v>
      </c>
      <c r="H19" s="75">
        <f t="shared" si="5"/>
        <v>4218.75</v>
      </c>
      <c r="I19" s="76">
        <v>42574</v>
      </c>
      <c r="J19" s="76">
        <f t="shared" si="2"/>
        <v>42664</v>
      </c>
      <c r="K19" s="75">
        <f t="shared" si="3"/>
        <v>562.5</v>
      </c>
      <c r="L19" s="75">
        <f t="shared" si="4"/>
        <v>31781.25</v>
      </c>
      <c r="M19" s="75">
        <v>31781</v>
      </c>
      <c r="N19" s="14"/>
      <c r="O19" s="10" t="s">
        <v>44</v>
      </c>
      <c r="P19" s="14">
        <v>411</v>
      </c>
    </row>
    <row r="20" spans="1:16" ht="12.75" x14ac:dyDescent="0.2">
      <c r="A20" s="14" t="s">
        <v>205</v>
      </c>
      <c r="B20" s="14"/>
      <c r="C20" s="14" t="s">
        <v>212</v>
      </c>
      <c r="D20" s="14" t="s">
        <v>61</v>
      </c>
      <c r="E20" s="181" t="s">
        <v>213</v>
      </c>
      <c r="F20" s="75">
        <f t="shared" si="0"/>
        <v>32343.75</v>
      </c>
      <c r="G20" s="75">
        <f>625000/1000*45</f>
        <v>28125</v>
      </c>
      <c r="H20" s="75">
        <f t="shared" si="5"/>
        <v>4218.75</v>
      </c>
      <c r="I20" s="76">
        <v>42574</v>
      </c>
      <c r="J20" s="76">
        <f t="shared" si="2"/>
        <v>42664</v>
      </c>
      <c r="K20" s="75">
        <f t="shared" si="3"/>
        <v>562.5</v>
      </c>
      <c r="L20" s="75">
        <f t="shared" si="4"/>
        <v>31781.25</v>
      </c>
      <c r="M20" s="75">
        <v>31781</v>
      </c>
      <c r="N20" s="14"/>
      <c r="O20" s="10" t="s">
        <v>44</v>
      </c>
      <c r="P20" s="14">
        <v>411</v>
      </c>
    </row>
    <row r="21" spans="1:16" ht="12.75" x14ac:dyDescent="0.2">
      <c r="A21" s="14" t="s">
        <v>205</v>
      </c>
      <c r="B21" s="14"/>
      <c r="C21" s="14" t="s">
        <v>214</v>
      </c>
      <c r="D21" s="14" t="s">
        <v>61</v>
      </c>
      <c r="E21" s="181" t="s">
        <v>215</v>
      </c>
      <c r="F21" s="75">
        <f t="shared" si="0"/>
        <v>62100</v>
      </c>
      <c r="G21" s="75">
        <f>1200000/1000*45</f>
        <v>54000</v>
      </c>
      <c r="H21" s="75">
        <f t="shared" si="5"/>
        <v>8100</v>
      </c>
      <c r="I21" s="76">
        <v>42574</v>
      </c>
      <c r="J21" s="76">
        <f t="shared" si="2"/>
        <v>42664</v>
      </c>
      <c r="K21" s="75">
        <f t="shared" si="3"/>
        <v>1080</v>
      </c>
      <c r="L21" s="75">
        <f t="shared" si="4"/>
        <v>61020</v>
      </c>
      <c r="M21" s="75">
        <v>61020</v>
      </c>
      <c r="N21" s="14"/>
      <c r="O21" s="10" t="s">
        <v>44</v>
      </c>
      <c r="P21" s="14">
        <v>411</v>
      </c>
    </row>
    <row r="22" spans="1:16" ht="12.75" x14ac:dyDescent="0.2">
      <c r="A22" s="14" t="s">
        <v>205</v>
      </c>
      <c r="B22" s="14"/>
      <c r="C22" s="14" t="s">
        <v>216</v>
      </c>
      <c r="D22" s="14" t="s">
        <v>61</v>
      </c>
      <c r="E22" s="181" t="s">
        <v>217</v>
      </c>
      <c r="F22" s="75">
        <f t="shared" si="0"/>
        <v>62100</v>
      </c>
      <c r="G22" s="75">
        <f>1200000/1000*45</f>
        <v>54000</v>
      </c>
      <c r="H22" s="75">
        <f t="shared" si="5"/>
        <v>8100</v>
      </c>
      <c r="I22" s="76">
        <v>42574</v>
      </c>
      <c r="J22" s="76">
        <f t="shared" si="2"/>
        <v>42664</v>
      </c>
      <c r="K22" s="75">
        <f t="shared" si="3"/>
        <v>1080</v>
      </c>
      <c r="L22" s="75">
        <f t="shared" si="4"/>
        <v>61020</v>
      </c>
      <c r="M22" s="75">
        <v>61020</v>
      </c>
      <c r="N22" s="14"/>
      <c r="O22" s="10" t="s">
        <v>44</v>
      </c>
      <c r="P22" s="14">
        <v>411</v>
      </c>
    </row>
    <row r="23" spans="1:16" ht="12.75" x14ac:dyDescent="0.2">
      <c r="A23" s="14" t="s">
        <v>205</v>
      </c>
      <c r="B23" s="14"/>
      <c r="C23" s="14" t="s">
        <v>218</v>
      </c>
      <c r="D23" s="14" t="s">
        <v>61</v>
      </c>
      <c r="E23" s="181" t="s">
        <v>219</v>
      </c>
      <c r="F23" s="75">
        <f t="shared" si="0"/>
        <v>116437.5</v>
      </c>
      <c r="G23" s="75">
        <f>2250000/1000*45</f>
        <v>101250</v>
      </c>
      <c r="H23" s="75">
        <f t="shared" si="5"/>
        <v>15187.5</v>
      </c>
      <c r="I23" s="76">
        <v>42561</v>
      </c>
      <c r="J23" s="76">
        <f t="shared" si="2"/>
        <v>42651</v>
      </c>
      <c r="K23" s="75">
        <f t="shared" si="3"/>
        <v>2025</v>
      </c>
      <c r="L23" s="75">
        <f t="shared" si="4"/>
        <v>114412.5</v>
      </c>
      <c r="M23" s="75">
        <v>114413</v>
      </c>
      <c r="N23" s="14" t="s">
        <v>513</v>
      </c>
      <c r="O23" s="10" t="s">
        <v>44</v>
      </c>
      <c r="P23" s="14">
        <v>404</v>
      </c>
    </row>
    <row r="24" spans="1:16" ht="12.75" x14ac:dyDescent="0.2">
      <c r="A24" s="14" t="s">
        <v>205</v>
      </c>
      <c r="B24" s="14"/>
      <c r="C24" s="14" t="s">
        <v>220</v>
      </c>
      <c r="D24" s="14" t="s">
        <v>61</v>
      </c>
      <c r="E24" s="181" t="s">
        <v>221</v>
      </c>
      <c r="F24" s="75">
        <f t="shared" si="0"/>
        <v>155250</v>
      </c>
      <c r="G24" s="75">
        <f>3000000/1000*45</f>
        <v>135000</v>
      </c>
      <c r="H24" s="75">
        <f t="shared" si="5"/>
        <v>20250</v>
      </c>
      <c r="I24" s="76">
        <v>42561</v>
      </c>
      <c r="J24" s="76">
        <f t="shared" si="2"/>
        <v>42651</v>
      </c>
      <c r="K24" s="75">
        <f t="shared" si="3"/>
        <v>2700</v>
      </c>
      <c r="L24" s="75">
        <f t="shared" si="4"/>
        <v>152550</v>
      </c>
      <c r="M24" s="75">
        <v>152550</v>
      </c>
      <c r="N24" s="14" t="s">
        <v>513</v>
      </c>
      <c r="O24" s="10" t="s">
        <v>44</v>
      </c>
      <c r="P24" s="14">
        <v>404</v>
      </c>
    </row>
    <row r="25" spans="1:16" ht="12.75" x14ac:dyDescent="0.2">
      <c r="A25" s="14" t="s">
        <v>205</v>
      </c>
      <c r="B25" s="14"/>
      <c r="C25" s="14" t="s">
        <v>222</v>
      </c>
      <c r="D25" s="14" t="s">
        <v>61</v>
      </c>
      <c r="E25" s="181" t="s">
        <v>223</v>
      </c>
      <c r="F25" s="75">
        <f t="shared" si="0"/>
        <v>64687.5</v>
      </c>
      <c r="G25" s="75">
        <f>1250000/1000*45</f>
        <v>56250</v>
      </c>
      <c r="H25" s="75">
        <f t="shared" si="5"/>
        <v>8437.5</v>
      </c>
      <c r="I25" s="76">
        <v>42564</v>
      </c>
      <c r="J25" s="76">
        <f t="shared" si="2"/>
        <v>42654</v>
      </c>
      <c r="K25" s="75">
        <f t="shared" si="3"/>
        <v>1125</v>
      </c>
      <c r="L25" s="75">
        <f t="shared" si="4"/>
        <v>63562.5</v>
      </c>
      <c r="M25" s="75">
        <v>63563</v>
      </c>
      <c r="N25" s="14" t="s">
        <v>513</v>
      </c>
      <c r="O25" s="10" t="s">
        <v>44</v>
      </c>
      <c r="P25" s="14">
        <v>404</v>
      </c>
    </row>
    <row r="26" spans="1:16" ht="12.75" x14ac:dyDescent="0.2">
      <c r="A26" s="14" t="s">
        <v>205</v>
      </c>
      <c r="B26" s="14"/>
      <c r="C26" s="14" t="s">
        <v>224</v>
      </c>
      <c r="D26" s="14" t="s">
        <v>61</v>
      </c>
      <c r="E26" s="181" t="s">
        <v>225</v>
      </c>
      <c r="F26" s="75">
        <f t="shared" si="0"/>
        <v>94090.9185</v>
      </c>
      <c r="G26" s="75">
        <f>1818182/1000*45</f>
        <v>81818.19</v>
      </c>
      <c r="H26" s="75">
        <f t="shared" si="5"/>
        <v>12272.728499999999</v>
      </c>
      <c r="I26" s="76">
        <v>42564</v>
      </c>
      <c r="J26" s="76">
        <f t="shared" si="2"/>
        <v>42654</v>
      </c>
      <c r="K26" s="75">
        <f t="shared" si="3"/>
        <v>1636.3638000000001</v>
      </c>
      <c r="L26" s="75">
        <f t="shared" si="4"/>
        <v>92454.554699999993</v>
      </c>
      <c r="M26" s="75">
        <v>92455</v>
      </c>
      <c r="N26" s="14" t="s">
        <v>513</v>
      </c>
      <c r="O26" s="10" t="s">
        <v>44</v>
      </c>
      <c r="P26" s="14">
        <v>404</v>
      </c>
    </row>
    <row r="27" spans="1:16" ht="12.75" x14ac:dyDescent="0.2">
      <c r="A27" s="14" t="s">
        <v>205</v>
      </c>
      <c r="B27" s="14"/>
      <c r="C27" s="14" t="s">
        <v>226</v>
      </c>
      <c r="D27" s="14" t="s">
        <v>61</v>
      </c>
      <c r="E27" s="181" t="s">
        <v>227</v>
      </c>
      <c r="F27" s="75">
        <f t="shared" si="0"/>
        <v>31050</v>
      </c>
      <c r="G27" s="75">
        <f>600000/1000*45</f>
        <v>27000</v>
      </c>
      <c r="H27" s="75">
        <f t="shared" si="5"/>
        <v>4050</v>
      </c>
      <c r="I27" s="76">
        <v>42564</v>
      </c>
      <c r="J27" s="76">
        <f t="shared" si="2"/>
        <v>42654</v>
      </c>
      <c r="K27" s="75">
        <f t="shared" si="3"/>
        <v>540</v>
      </c>
      <c r="L27" s="75">
        <f t="shared" si="4"/>
        <v>30510</v>
      </c>
      <c r="M27" s="75">
        <v>30510</v>
      </c>
      <c r="N27" s="14" t="s">
        <v>513</v>
      </c>
      <c r="O27" s="10" t="s">
        <v>44</v>
      </c>
      <c r="P27" s="14">
        <v>404</v>
      </c>
    </row>
    <row r="28" spans="1:16" ht="12.75" x14ac:dyDescent="0.2">
      <c r="A28" s="14" t="s">
        <v>205</v>
      </c>
      <c r="B28" s="14"/>
      <c r="C28" s="14" t="s">
        <v>228</v>
      </c>
      <c r="D28" s="14" t="s">
        <v>61</v>
      </c>
      <c r="E28" s="181" t="s">
        <v>229</v>
      </c>
      <c r="F28" s="75">
        <f t="shared" si="0"/>
        <v>207000</v>
      </c>
      <c r="G28" s="75">
        <f>4000000/1000*45</f>
        <v>180000</v>
      </c>
      <c r="H28" s="75">
        <f t="shared" si="5"/>
        <v>27000</v>
      </c>
      <c r="I28" s="76">
        <v>42551</v>
      </c>
      <c r="J28" s="76">
        <f t="shared" si="2"/>
        <v>42641</v>
      </c>
      <c r="K28" s="75">
        <f t="shared" si="3"/>
        <v>3600</v>
      </c>
      <c r="L28" s="75">
        <f t="shared" si="4"/>
        <v>203400</v>
      </c>
      <c r="M28" s="75">
        <v>203400</v>
      </c>
      <c r="N28" s="14"/>
      <c r="O28" s="10" t="s">
        <v>44</v>
      </c>
      <c r="P28" s="14">
        <v>411</v>
      </c>
    </row>
    <row r="29" spans="1:16" ht="12.75" x14ac:dyDescent="0.2">
      <c r="A29" s="14" t="s">
        <v>205</v>
      </c>
      <c r="B29" s="14"/>
      <c r="C29" s="14" t="s">
        <v>230</v>
      </c>
      <c r="D29" s="14" t="s">
        <v>61</v>
      </c>
      <c r="E29" s="181" t="s">
        <v>231</v>
      </c>
      <c r="F29" s="75">
        <f t="shared" si="0"/>
        <v>20700</v>
      </c>
      <c r="G29" s="75">
        <f>400000/1000*45</f>
        <v>18000</v>
      </c>
      <c r="H29" s="75">
        <f t="shared" si="5"/>
        <v>2700</v>
      </c>
      <c r="I29" s="76">
        <v>42582</v>
      </c>
      <c r="J29" s="76">
        <f t="shared" si="2"/>
        <v>42672</v>
      </c>
      <c r="K29" s="75">
        <f t="shared" si="3"/>
        <v>360</v>
      </c>
      <c r="L29" s="75">
        <f t="shared" si="4"/>
        <v>20340</v>
      </c>
      <c r="M29" s="75">
        <v>20340</v>
      </c>
      <c r="N29" s="14"/>
      <c r="O29" s="10" t="s">
        <v>44</v>
      </c>
      <c r="P29" s="14">
        <v>411</v>
      </c>
    </row>
    <row r="30" spans="1:16" ht="12.75" x14ac:dyDescent="0.2">
      <c r="A30" s="14" t="s">
        <v>205</v>
      </c>
      <c r="B30" s="14"/>
      <c r="C30" s="14" t="s">
        <v>232</v>
      </c>
      <c r="D30" s="14" t="s">
        <v>61</v>
      </c>
      <c r="E30" s="181" t="s">
        <v>233</v>
      </c>
      <c r="F30" s="75">
        <f t="shared" si="0"/>
        <v>25875</v>
      </c>
      <c r="G30" s="75">
        <f>500000/1000*45</f>
        <v>22500</v>
      </c>
      <c r="H30" s="75">
        <f t="shared" si="5"/>
        <v>3375</v>
      </c>
      <c r="I30" s="76">
        <v>42582</v>
      </c>
      <c r="J30" s="76">
        <f t="shared" si="2"/>
        <v>42672</v>
      </c>
      <c r="K30" s="75">
        <f t="shared" si="3"/>
        <v>450</v>
      </c>
      <c r="L30" s="75">
        <f t="shared" si="4"/>
        <v>25425</v>
      </c>
      <c r="M30" s="75">
        <v>25425</v>
      </c>
      <c r="N30" s="14"/>
      <c r="O30" s="10" t="s">
        <v>44</v>
      </c>
      <c r="P30" s="14">
        <v>411</v>
      </c>
    </row>
    <row r="31" spans="1:16" ht="12.75" x14ac:dyDescent="0.2">
      <c r="A31" s="14" t="s">
        <v>205</v>
      </c>
      <c r="B31" s="14"/>
      <c r="C31" s="14" t="s">
        <v>234</v>
      </c>
      <c r="D31" s="14" t="s">
        <v>61</v>
      </c>
      <c r="E31" s="181" t="s">
        <v>235</v>
      </c>
      <c r="F31" s="75">
        <f t="shared" si="0"/>
        <v>25875</v>
      </c>
      <c r="G31" s="75">
        <f>500000/1000*45</f>
        <v>22500</v>
      </c>
      <c r="H31" s="75">
        <f t="shared" si="5"/>
        <v>3375</v>
      </c>
      <c r="I31" s="76">
        <v>42582</v>
      </c>
      <c r="J31" s="76">
        <f t="shared" si="2"/>
        <v>42672</v>
      </c>
      <c r="K31" s="75">
        <f t="shared" si="3"/>
        <v>450</v>
      </c>
      <c r="L31" s="75">
        <f t="shared" si="4"/>
        <v>25425</v>
      </c>
      <c r="M31" s="75">
        <v>25425</v>
      </c>
      <c r="N31" s="14"/>
      <c r="O31" s="10" t="s">
        <v>44</v>
      </c>
      <c r="P31" s="14">
        <v>411</v>
      </c>
    </row>
    <row r="32" spans="1:16" ht="12.75" x14ac:dyDescent="0.2">
      <c r="A32" s="14" t="s">
        <v>205</v>
      </c>
      <c r="B32" s="14"/>
      <c r="C32" s="14" t="s">
        <v>236</v>
      </c>
      <c r="D32" s="14" t="s">
        <v>61</v>
      </c>
      <c r="E32" s="181" t="s">
        <v>237</v>
      </c>
      <c r="F32" s="75">
        <f t="shared" si="0"/>
        <v>10350</v>
      </c>
      <c r="G32" s="75">
        <f>200000/1000*45</f>
        <v>9000</v>
      </c>
      <c r="H32" s="75">
        <f t="shared" si="5"/>
        <v>1350</v>
      </c>
      <c r="I32" s="76">
        <v>42582</v>
      </c>
      <c r="J32" s="76">
        <f t="shared" si="2"/>
        <v>42672</v>
      </c>
      <c r="K32" s="75">
        <f t="shared" si="3"/>
        <v>180</v>
      </c>
      <c r="L32" s="75">
        <f t="shared" si="4"/>
        <v>10170</v>
      </c>
      <c r="M32" s="75">
        <v>10170</v>
      </c>
      <c r="N32" s="14"/>
      <c r="O32" s="10" t="s">
        <v>44</v>
      </c>
      <c r="P32" s="14">
        <v>411</v>
      </c>
    </row>
    <row r="33" spans="1:16" ht="12.75" x14ac:dyDescent="0.2">
      <c r="A33" s="14" t="s">
        <v>205</v>
      </c>
      <c r="B33" s="14"/>
      <c r="C33" s="14" t="s">
        <v>238</v>
      </c>
      <c r="D33" s="14" t="s">
        <v>61</v>
      </c>
      <c r="E33" s="181" t="s">
        <v>239</v>
      </c>
      <c r="F33" s="75">
        <f t="shared" si="0"/>
        <v>86422.5</v>
      </c>
      <c r="G33" s="75">
        <f>1670000/1000*45</f>
        <v>75150</v>
      </c>
      <c r="H33" s="75">
        <f t="shared" si="5"/>
        <v>11272.5</v>
      </c>
      <c r="I33" s="76">
        <v>42582</v>
      </c>
      <c r="J33" s="76">
        <f t="shared" si="2"/>
        <v>42672</v>
      </c>
      <c r="K33" s="75">
        <f t="shared" si="3"/>
        <v>1503</v>
      </c>
      <c r="L33" s="75">
        <f t="shared" si="4"/>
        <v>84919.5</v>
      </c>
      <c r="M33" s="75">
        <v>84920</v>
      </c>
      <c r="N33" s="14"/>
      <c r="O33" s="10" t="s">
        <v>44</v>
      </c>
      <c r="P33" s="14">
        <v>411</v>
      </c>
    </row>
    <row r="34" spans="1:16" ht="12.75" x14ac:dyDescent="0.2">
      <c r="A34" s="14" t="s">
        <v>205</v>
      </c>
      <c r="B34" s="14"/>
      <c r="C34" s="14" t="s">
        <v>240</v>
      </c>
      <c r="D34" s="14" t="s">
        <v>61</v>
      </c>
      <c r="E34" s="181" t="s">
        <v>241</v>
      </c>
      <c r="F34" s="75">
        <f t="shared" si="0"/>
        <v>25875</v>
      </c>
      <c r="G34" s="75">
        <f>500000/1000*45</f>
        <v>22500</v>
      </c>
      <c r="H34" s="75">
        <f t="shared" si="5"/>
        <v>3375</v>
      </c>
      <c r="I34" s="76">
        <v>42598</v>
      </c>
      <c r="J34" s="76">
        <f t="shared" si="2"/>
        <v>42688</v>
      </c>
      <c r="K34" s="75">
        <f t="shared" si="3"/>
        <v>450</v>
      </c>
      <c r="L34" s="75">
        <f t="shared" si="4"/>
        <v>25425</v>
      </c>
      <c r="M34" s="75">
        <v>25425</v>
      </c>
      <c r="N34" s="14"/>
      <c r="O34" s="10" t="s">
        <v>44</v>
      </c>
      <c r="P34" s="14">
        <v>430</v>
      </c>
    </row>
    <row r="35" spans="1:16" ht="12.75" x14ac:dyDescent="0.2">
      <c r="A35" s="14" t="s">
        <v>205</v>
      </c>
      <c r="B35" s="14"/>
      <c r="C35" s="14" t="s">
        <v>224</v>
      </c>
      <c r="D35" s="14" t="s">
        <v>95</v>
      </c>
      <c r="E35" s="181" t="s">
        <v>242</v>
      </c>
      <c r="F35" s="75">
        <f t="shared" si="0"/>
        <v>1207.5</v>
      </c>
      <c r="G35" s="75">
        <f>210*5</f>
        <v>1050</v>
      </c>
      <c r="H35" s="75">
        <f t="shared" si="5"/>
        <v>157.5</v>
      </c>
      <c r="I35" s="76">
        <v>42588</v>
      </c>
      <c r="J35" s="76">
        <f t="shared" si="2"/>
        <v>42678</v>
      </c>
      <c r="K35" s="75">
        <f t="shared" si="3"/>
        <v>21</v>
      </c>
      <c r="L35" s="75">
        <f t="shared" si="4"/>
        <v>1186.5</v>
      </c>
      <c r="M35" s="75">
        <v>1187</v>
      </c>
      <c r="N35" s="14"/>
      <c r="O35" s="10" t="s">
        <v>44</v>
      </c>
      <c r="P35" s="14">
        <v>430</v>
      </c>
    </row>
    <row r="36" spans="1:16" ht="12.75" x14ac:dyDescent="0.2">
      <c r="A36" s="14" t="s">
        <v>205</v>
      </c>
      <c r="B36" s="14"/>
      <c r="C36" s="14" t="s">
        <v>222</v>
      </c>
      <c r="D36" s="14" t="s">
        <v>95</v>
      </c>
      <c r="E36" s="181" t="s">
        <v>243</v>
      </c>
      <c r="F36" s="75">
        <f t="shared" si="0"/>
        <v>2248.25</v>
      </c>
      <c r="G36" s="75">
        <f>391*5</f>
        <v>1955</v>
      </c>
      <c r="H36" s="75">
        <f t="shared" si="5"/>
        <v>293.25</v>
      </c>
      <c r="I36" s="76">
        <v>42588</v>
      </c>
      <c r="J36" s="76">
        <f t="shared" si="2"/>
        <v>42678</v>
      </c>
      <c r="K36" s="75">
        <f t="shared" si="3"/>
        <v>39.1</v>
      </c>
      <c r="L36" s="75">
        <f t="shared" si="4"/>
        <v>2209.15</v>
      </c>
      <c r="M36" s="75">
        <v>2209</v>
      </c>
      <c r="N36" s="14"/>
      <c r="O36" s="10" t="s">
        <v>44</v>
      </c>
      <c r="P36" s="14">
        <v>430</v>
      </c>
    </row>
    <row r="37" spans="1:16" ht="12.75" x14ac:dyDescent="0.2">
      <c r="A37" s="14" t="s">
        <v>370</v>
      </c>
      <c r="B37" s="14"/>
      <c r="C37" s="14" t="s">
        <v>371</v>
      </c>
      <c r="D37" s="14" t="s">
        <v>61</v>
      </c>
      <c r="E37" s="181" t="s">
        <v>372</v>
      </c>
      <c r="F37" s="75">
        <f t="shared" si="0"/>
        <v>15525</v>
      </c>
      <c r="G37" s="75">
        <v>13500</v>
      </c>
      <c r="H37" s="75">
        <f t="shared" si="5"/>
        <v>2025</v>
      </c>
      <c r="I37" s="76">
        <v>42606</v>
      </c>
      <c r="J37" s="76">
        <f t="shared" si="2"/>
        <v>42696</v>
      </c>
      <c r="K37" s="75">
        <f t="shared" si="3"/>
        <v>270</v>
      </c>
      <c r="L37" s="75">
        <f t="shared" si="4"/>
        <v>15255</v>
      </c>
      <c r="M37" s="75">
        <v>15255</v>
      </c>
      <c r="N37" s="14"/>
      <c r="O37" s="10" t="s">
        <v>44</v>
      </c>
      <c r="P37" s="14">
        <v>430</v>
      </c>
    </row>
    <row r="38" spans="1:16" ht="12.75" x14ac:dyDescent="0.2">
      <c r="A38" s="14" t="s">
        <v>388</v>
      </c>
      <c r="B38" s="14"/>
      <c r="C38" s="14" t="s">
        <v>387</v>
      </c>
      <c r="D38" s="14" t="s">
        <v>61</v>
      </c>
      <c r="E38" s="181" t="s">
        <v>386</v>
      </c>
      <c r="F38" s="75">
        <f t="shared" si="0"/>
        <v>90562.5</v>
      </c>
      <c r="G38" s="75">
        <f>1750000/1000*45</f>
        <v>78750</v>
      </c>
      <c r="H38" s="75">
        <f t="shared" si="5"/>
        <v>11812.5</v>
      </c>
      <c r="I38" s="76">
        <v>42616</v>
      </c>
      <c r="J38" s="76">
        <f t="shared" si="2"/>
        <v>42706</v>
      </c>
      <c r="K38" s="75">
        <f t="shared" si="3"/>
        <v>1575</v>
      </c>
      <c r="L38" s="75">
        <f t="shared" si="4"/>
        <v>88987.5</v>
      </c>
      <c r="M38" s="75">
        <v>88988</v>
      </c>
      <c r="N38" s="14"/>
      <c r="O38" s="10" t="s">
        <v>44</v>
      </c>
      <c r="P38" s="14">
        <v>430</v>
      </c>
    </row>
    <row r="39" spans="1:16" ht="12.75" x14ac:dyDescent="0.2">
      <c r="A39" s="14" t="s">
        <v>432</v>
      </c>
      <c r="B39" s="14"/>
      <c r="C39" s="14" t="s">
        <v>371</v>
      </c>
      <c r="D39" s="14" t="s">
        <v>61</v>
      </c>
      <c r="E39" s="181" t="s">
        <v>431</v>
      </c>
      <c r="F39" s="75">
        <f t="shared" si="0"/>
        <v>36225</v>
      </c>
      <c r="G39" s="75">
        <f>700000/1000*45</f>
        <v>31500</v>
      </c>
      <c r="H39" s="75">
        <f t="shared" si="5"/>
        <v>4725</v>
      </c>
      <c r="I39" s="76">
        <v>42623</v>
      </c>
      <c r="J39" s="76">
        <f t="shared" si="2"/>
        <v>42713</v>
      </c>
      <c r="K39" s="75">
        <f t="shared" si="3"/>
        <v>630</v>
      </c>
      <c r="L39" s="75">
        <f t="shared" si="4"/>
        <v>35595</v>
      </c>
      <c r="M39" s="75">
        <v>35595</v>
      </c>
      <c r="N39" s="14"/>
      <c r="O39" s="10" t="s">
        <v>44</v>
      </c>
      <c r="P39" s="14">
        <v>430</v>
      </c>
    </row>
    <row r="40" spans="1:16" ht="12.75" x14ac:dyDescent="0.2">
      <c r="A40" s="14" t="s">
        <v>432</v>
      </c>
      <c r="B40" s="14"/>
      <c r="C40" s="14" t="s">
        <v>434</v>
      </c>
      <c r="D40" s="14" t="s">
        <v>61</v>
      </c>
      <c r="E40" s="181" t="s">
        <v>433</v>
      </c>
      <c r="F40" s="75">
        <f t="shared" ref="F40:F70" si="6">SUM(G40:H40)</f>
        <v>51750</v>
      </c>
      <c r="G40" s="75">
        <f>1000000/1000*45</f>
        <v>45000</v>
      </c>
      <c r="H40" s="75">
        <f t="shared" si="5"/>
        <v>6750</v>
      </c>
      <c r="I40" s="76">
        <v>42618</v>
      </c>
      <c r="J40" s="76">
        <f t="shared" si="2"/>
        <v>42708</v>
      </c>
      <c r="K40" s="75">
        <f t="shared" si="3"/>
        <v>900</v>
      </c>
      <c r="L40" s="75">
        <f t="shared" si="4"/>
        <v>50850</v>
      </c>
      <c r="M40" s="75">
        <v>50850</v>
      </c>
      <c r="N40" s="14"/>
      <c r="O40" s="10" t="s">
        <v>44</v>
      </c>
      <c r="P40" s="14">
        <v>430</v>
      </c>
    </row>
    <row r="41" spans="1:16" ht="12.75" x14ac:dyDescent="0.2">
      <c r="A41" s="14" t="s">
        <v>432</v>
      </c>
      <c r="B41" s="14"/>
      <c r="C41" s="14" t="s">
        <v>441</v>
      </c>
      <c r="D41" s="14" t="s">
        <v>61</v>
      </c>
      <c r="E41" s="181" t="s">
        <v>440</v>
      </c>
      <c r="F41" s="75">
        <f t="shared" si="6"/>
        <v>38812.5</v>
      </c>
      <c r="G41" s="75">
        <f>750000/1000*45</f>
        <v>33750</v>
      </c>
      <c r="H41" s="75">
        <f t="shared" si="5"/>
        <v>5062.5</v>
      </c>
      <c r="I41" s="76">
        <v>42640</v>
      </c>
      <c r="J41" s="76">
        <f t="shared" si="2"/>
        <v>42730</v>
      </c>
      <c r="K41" s="75">
        <f t="shared" si="3"/>
        <v>675</v>
      </c>
      <c r="L41" s="75">
        <f t="shared" si="4"/>
        <v>38137.5</v>
      </c>
      <c r="M41" s="75">
        <v>38138</v>
      </c>
      <c r="N41" s="14"/>
      <c r="O41" s="10" t="s">
        <v>44</v>
      </c>
      <c r="P41" s="14">
        <v>446</v>
      </c>
    </row>
    <row r="42" spans="1:16" ht="12.75" x14ac:dyDescent="0.2">
      <c r="A42" s="14" t="s">
        <v>432</v>
      </c>
      <c r="B42" s="14"/>
      <c r="C42" s="14" t="s">
        <v>228</v>
      </c>
      <c r="D42" s="14" t="s">
        <v>61</v>
      </c>
      <c r="E42" s="181" t="s">
        <v>442</v>
      </c>
      <c r="F42" s="75">
        <f t="shared" si="6"/>
        <v>23287.5</v>
      </c>
      <c r="G42" s="75">
        <f>450000/1000*45</f>
        <v>20250</v>
      </c>
      <c r="H42" s="75">
        <f t="shared" si="5"/>
        <v>3037.5</v>
      </c>
      <c r="I42" s="76">
        <v>42643</v>
      </c>
      <c r="J42" s="76">
        <f t="shared" si="2"/>
        <v>42733</v>
      </c>
      <c r="K42" s="75">
        <f t="shared" si="3"/>
        <v>405</v>
      </c>
      <c r="L42" s="75">
        <f t="shared" si="4"/>
        <v>22882.5</v>
      </c>
      <c r="M42" s="75">
        <v>22883</v>
      </c>
      <c r="N42" s="14"/>
      <c r="O42" s="10" t="s">
        <v>44</v>
      </c>
      <c r="P42" s="14">
        <v>446</v>
      </c>
    </row>
    <row r="43" spans="1:16" ht="12.75" x14ac:dyDescent="0.2">
      <c r="A43" s="14" t="s">
        <v>432</v>
      </c>
      <c r="B43" s="14"/>
      <c r="C43" s="14" t="s">
        <v>228</v>
      </c>
      <c r="D43" s="14" t="s">
        <v>95</v>
      </c>
      <c r="E43" s="181" t="s">
        <v>443</v>
      </c>
      <c r="F43" s="75">
        <f t="shared" si="6"/>
        <v>3162.5</v>
      </c>
      <c r="G43" s="75">
        <f>550*5</f>
        <v>2750</v>
      </c>
      <c r="H43" s="75">
        <f t="shared" si="5"/>
        <v>412.5</v>
      </c>
      <c r="I43" s="76">
        <v>42643</v>
      </c>
      <c r="J43" s="76">
        <f t="shared" si="2"/>
        <v>42733</v>
      </c>
      <c r="K43" s="75">
        <f t="shared" si="3"/>
        <v>55</v>
      </c>
      <c r="L43" s="75">
        <f t="shared" si="4"/>
        <v>3107.5</v>
      </c>
      <c r="M43" s="75">
        <v>3108</v>
      </c>
      <c r="N43" s="14"/>
      <c r="O43" s="10" t="s">
        <v>44</v>
      </c>
      <c r="P43" s="14">
        <v>446</v>
      </c>
    </row>
    <row r="44" spans="1:16" ht="12.75" x14ac:dyDescent="0.2">
      <c r="A44" s="14" t="s">
        <v>432</v>
      </c>
      <c r="B44" s="14"/>
      <c r="C44" s="14" t="s">
        <v>441</v>
      </c>
      <c r="D44" s="14" t="s">
        <v>95</v>
      </c>
      <c r="E44" s="181" t="s">
        <v>444</v>
      </c>
      <c r="F44" s="75">
        <f t="shared" si="6"/>
        <v>1725</v>
      </c>
      <c r="G44" s="75">
        <f>300*5</f>
        <v>1500</v>
      </c>
      <c r="H44" s="75">
        <f t="shared" si="5"/>
        <v>225</v>
      </c>
      <c r="I44" s="76">
        <v>42642</v>
      </c>
      <c r="J44" s="76">
        <f t="shared" si="2"/>
        <v>42732</v>
      </c>
      <c r="K44" s="75">
        <f t="shared" si="3"/>
        <v>30</v>
      </c>
      <c r="L44" s="75">
        <f t="shared" si="4"/>
        <v>1695</v>
      </c>
      <c r="M44" s="75">
        <v>1695</v>
      </c>
      <c r="N44" s="14"/>
      <c r="O44" s="10" t="s">
        <v>44</v>
      </c>
      <c r="P44" s="14">
        <v>446</v>
      </c>
    </row>
    <row r="45" spans="1:16" ht="12.75" x14ac:dyDescent="0.2">
      <c r="A45" s="14" t="s">
        <v>495</v>
      </c>
      <c r="B45" s="14"/>
      <c r="C45" s="14" t="s">
        <v>492</v>
      </c>
      <c r="D45" s="14" t="s">
        <v>61</v>
      </c>
      <c r="E45" s="181" t="s">
        <v>486</v>
      </c>
      <c r="F45" s="75">
        <f t="shared" si="6"/>
        <v>43125.034500000002</v>
      </c>
      <c r="G45" s="75">
        <f>833334/1000*45</f>
        <v>37500.03</v>
      </c>
      <c r="H45" s="75">
        <f t="shared" si="5"/>
        <v>5625.0045</v>
      </c>
      <c r="I45" s="76">
        <v>42668</v>
      </c>
      <c r="J45" s="76">
        <f t="shared" si="2"/>
        <v>42758</v>
      </c>
      <c r="K45" s="75">
        <f t="shared" si="3"/>
        <v>750.00059999999996</v>
      </c>
      <c r="L45" s="75">
        <f t="shared" si="4"/>
        <v>42375.033900000002</v>
      </c>
      <c r="M45" s="75">
        <v>42375</v>
      </c>
      <c r="N45" s="14"/>
      <c r="O45" s="10" t="s">
        <v>44</v>
      </c>
      <c r="P45" s="14">
        <v>446</v>
      </c>
    </row>
    <row r="46" spans="1:16" ht="12.75" x14ac:dyDescent="0.2">
      <c r="A46" s="14" t="s">
        <v>495</v>
      </c>
      <c r="B46" s="14"/>
      <c r="C46" s="14" t="s">
        <v>492</v>
      </c>
      <c r="D46" s="14" t="s">
        <v>95</v>
      </c>
      <c r="E46" s="181" t="s">
        <v>487</v>
      </c>
      <c r="F46" s="75">
        <f t="shared" si="6"/>
        <v>5175</v>
      </c>
      <c r="G46" s="75">
        <f>900*5</f>
        <v>4500</v>
      </c>
      <c r="H46" s="75">
        <f t="shared" si="5"/>
        <v>675</v>
      </c>
      <c r="I46" s="76">
        <v>42647</v>
      </c>
      <c r="J46" s="76">
        <f t="shared" si="2"/>
        <v>42737</v>
      </c>
      <c r="K46" s="75">
        <f t="shared" si="3"/>
        <v>90</v>
      </c>
      <c r="L46" s="75">
        <f t="shared" si="4"/>
        <v>5085</v>
      </c>
      <c r="M46" s="75">
        <v>5085</v>
      </c>
      <c r="N46" s="14"/>
      <c r="O46" s="10" t="s">
        <v>44</v>
      </c>
      <c r="P46" s="14">
        <v>446</v>
      </c>
    </row>
    <row r="47" spans="1:16" ht="12.75" x14ac:dyDescent="0.2">
      <c r="A47" s="14" t="s">
        <v>495</v>
      </c>
      <c r="B47" s="14"/>
      <c r="C47" s="14" t="s">
        <v>139</v>
      </c>
      <c r="D47" s="14" t="s">
        <v>61</v>
      </c>
      <c r="E47" s="181" t="s">
        <v>488</v>
      </c>
      <c r="F47" s="75">
        <f t="shared" si="6"/>
        <v>129375</v>
      </c>
      <c r="G47" s="75">
        <f>2500000/1000*45</f>
        <v>112500</v>
      </c>
      <c r="H47" s="75">
        <f t="shared" si="5"/>
        <v>16875</v>
      </c>
      <c r="I47" s="76">
        <v>42668</v>
      </c>
      <c r="J47" s="76">
        <f t="shared" si="2"/>
        <v>42758</v>
      </c>
      <c r="K47" s="75">
        <f t="shared" si="3"/>
        <v>2250</v>
      </c>
      <c r="L47" s="75">
        <f t="shared" si="4"/>
        <v>127125</v>
      </c>
      <c r="M47" s="75">
        <v>127125</v>
      </c>
      <c r="N47" s="14"/>
      <c r="O47" s="10" t="s">
        <v>44</v>
      </c>
      <c r="P47" s="14">
        <v>446</v>
      </c>
    </row>
    <row r="48" spans="1:16" ht="12.75" x14ac:dyDescent="0.2">
      <c r="A48" s="14" t="s">
        <v>495</v>
      </c>
      <c r="B48" s="14"/>
      <c r="C48" s="14" t="s">
        <v>139</v>
      </c>
      <c r="D48" s="14" t="s">
        <v>95</v>
      </c>
      <c r="E48" s="181" t="s">
        <v>489</v>
      </c>
      <c r="F48" s="75">
        <f t="shared" si="6"/>
        <v>18687.5</v>
      </c>
      <c r="G48" s="75">
        <f>3250*5</f>
        <v>16250</v>
      </c>
      <c r="H48" s="75">
        <f t="shared" si="5"/>
        <v>2437.5</v>
      </c>
      <c r="I48" s="76">
        <v>42668</v>
      </c>
      <c r="J48" s="76">
        <f t="shared" si="2"/>
        <v>42758</v>
      </c>
      <c r="K48" s="75">
        <f t="shared" si="3"/>
        <v>325</v>
      </c>
      <c r="L48" s="75">
        <f t="shared" si="4"/>
        <v>18362.5</v>
      </c>
      <c r="M48" s="75">
        <v>18363</v>
      </c>
      <c r="N48" s="14"/>
      <c r="O48" s="10" t="s">
        <v>44</v>
      </c>
      <c r="P48" s="14">
        <v>446</v>
      </c>
    </row>
    <row r="49" spans="1:16" ht="12.75" x14ac:dyDescent="0.2">
      <c r="A49" s="14" t="s">
        <v>495</v>
      </c>
      <c r="B49" s="14"/>
      <c r="C49" s="14" t="s">
        <v>493</v>
      </c>
      <c r="D49" s="14" t="s">
        <v>95</v>
      </c>
      <c r="E49" s="181" t="s">
        <v>490</v>
      </c>
      <c r="F49" s="75">
        <f t="shared" si="6"/>
        <v>3018.75</v>
      </c>
      <c r="G49" s="75">
        <f>525*5</f>
        <v>2625</v>
      </c>
      <c r="H49" s="75">
        <f t="shared" si="5"/>
        <v>393.75</v>
      </c>
      <c r="I49" s="76">
        <v>42660</v>
      </c>
      <c r="J49" s="76">
        <f t="shared" si="2"/>
        <v>42750</v>
      </c>
      <c r="K49" s="75">
        <f t="shared" si="3"/>
        <v>52.5</v>
      </c>
      <c r="L49" s="75">
        <f t="shared" si="4"/>
        <v>2966.25</v>
      </c>
      <c r="M49" s="75">
        <v>2966</v>
      </c>
      <c r="N49" s="14"/>
      <c r="O49" s="10" t="s">
        <v>44</v>
      </c>
      <c r="P49" s="14">
        <v>446</v>
      </c>
    </row>
    <row r="50" spans="1:16" ht="12.75" x14ac:dyDescent="0.2">
      <c r="A50" s="14" t="s">
        <v>495</v>
      </c>
      <c r="B50" s="14"/>
      <c r="C50" s="14" t="s">
        <v>494</v>
      </c>
      <c r="D50" s="14" t="s">
        <v>95</v>
      </c>
      <c r="E50" s="181" t="s">
        <v>491</v>
      </c>
      <c r="F50" s="75">
        <f t="shared" si="6"/>
        <v>2012.5</v>
      </c>
      <c r="G50" s="75">
        <f>350*5</f>
        <v>1750</v>
      </c>
      <c r="H50" s="75">
        <f t="shared" si="5"/>
        <v>262.5</v>
      </c>
      <c r="I50" s="76">
        <v>42665</v>
      </c>
      <c r="J50" s="76">
        <f t="shared" si="2"/>
        <v>42755</v>
      </c>
      <c r="K50" s="75">
        <f t="shared" si="3"/>
        <v>35</v>
      </c>
      <c r="L50" s="75">
        <f t="shared" si="4"/>
        <v>1977.5</v>
      </c>
      <c r="M50" s="75">
        <v>1978</v>
      </c>
      <c r="N50" s="14"/>
      <c r="O50" s="10" t="s">
        <v>44</v>
      </c>
      <c r="P50" s="14">
        <v>446</v>
      </c>
    </row>
    <row r="51" spans="1:16" ht="12.75" x14ac:dyDescent="0.2">
      <c r="A51" s="14" t="s">
        <v>514</v>
      </c>
      <c r="B51" s="14"/>
      <c r="C51" s="14" t="s">
        <v>525</v>
      </c>
      <c r="D51" s="14" t="s">
        <v>61</v>
      </c>
      <c r="E51" s="181" t="s">
        <v>524</v>
      </c>
      <c r="F51" s="75">
        <f t="shared" si="6"/>
        <v>258750</v>
      </c>
      <c r="G51" s="75">
        <v>225000</v>
      </c>
      <c r="H51" s="75">
        <f t="shared" si="5"/>
        <v>33750</v>
      </c>
      <c r="I51" s="76">
        <v>42689</v>
      </c>
      <c r="J51" s="76">
        <f t="shared" si="2"/>
        <v>42779</v>
      </c>
      <c r="K51" s="75">
        <f t="shared" si="3"/>
        <v>4500</v>
      </c>
      <c r="L51" s="75">
        <f t="shared" si="4"/>
        <v>254250</v>
      </c>
      <c r="M51" s="75">
        <v>254250</v>
      </c>
      <c r="N51" s="14"/>
      <c r="O51" s="10" t="s">
        <v>44</v>
      </c>
      <c r="P51" s="14">
        <v>538</v>
      </c>
    </row>
    <row r="52" spans="1:16" ht="12.75" x14ac:dyDescent="0.2">
      <c r="A52" s="14" t="s">
        <v>514</v>
      </c>
      <c r="B52" s="14"/>
      <c r="C52" s="14" t="s">
        <v>525</v>
      </c>
      <c r="D52" s="14" t="s">
        <v>95</v>
      </c>
      <c r="E52" s="181" t="s">
        <v>526</v>
      </c>
      <c r="F52" s="75">
        <f t="shared" si="6"/>
        <v>5031.25</v>
      </c>
      <c r="G52" s="75">
        <v>4375</v>
      </c>
      <c r="H52" s="75">
        <f t="shared" si="5"/>
        <v>656.25</v>
      </c>
      <c r="I52" s="76">
        <v>42691</v>
      </c>
      <c r="J52" s="76">
        <f t="shared" si="2"/>
        <v>42781</v>
      </c>
      <c r="K52" s="75">
        <f t="shared" si="3"/>
        <v>87.5</v>
      </c>
      <c r="L52" s="75">
        <f t="shared" si="4"/>
        <v>4943.75</v>
      </c>
      <c r="M52" s="75">
        <v>4943</v>
      </c>
      <c r="N52" s="14"/>
      <c r="O52" s="10" t="s">
        <v>44</v>
      </c>
      <c r="P52" s="14">
        <v>538</v>
      </c>
    </row>
    <row r="53" spans="1:16" ht="12.75" x14ac:dyDescent="0.2">
      <c r="A53" s="14" t="s">
        <v>541</v>
      </c>
      <c r="B53" s="14"/>
      <c r="C53" s="14" t="s">
        <v>543</v>
      </c>
      <c r="D53" s="14" t="s">
        <v>61</v>
      </c>
      <c r="E53" s="181" t="s">
        <v>542</v>
      </c>
      <c r="F53" s="75">
        <f t="shared" si="6"/>
        <v>14231.25</v>
      </c>
      <c r="G53" s="75">
        <v>12375</v>
      </c>
      <c r="H53" s="75">
        <f t="shared" si="5"/>
        <v>1856.25</v>
      </c>
      <c r="I53" s="76">
        <v>42704</v>
      </c>
      <c r="J53" s="76">
        <f t="shared" si="2"/>
        <v>42794</v>
      </c>
      <c r="K53" s="75">
        <f t="shared" si="3"/>
        <v>247.5</v>
      </c>
      <c r="L53" s="75">
        <f t="shared" si="4"/>
        <v>13983.75</v>
      </c>
      <c r="M53" s="75">
        <v>13983</v>
      </c>
      <c r="N53" s="14"/>
      <c r="O53" s="10" t="s">
        <v>44</v>
      </c>
      <c r="P53" s="14">
        <v>538</v>
      </c>
    </row>
    <row r="54" spans="1:16" ht="12.75" x14ac:dyDescent="0.2">
      <c r="A54" s="14" t="s">
        <v>541</v>
      </c>
      <c r="B54" s="14"/>
      <c r="C54" s="14" t="s">
        <v>545</v>
      </c>
      <c r="D54" s="14" t="s">
        <v>61</v>
      </c>
      <c r="E54" s="181" t="s">
        <v>544</v>
      </c>
      <c r="F54" s="75">
        <f t="shared" si="6"/>
        <v>23287.5</v>
      </c>
      <c r="G54" s="75">
        <v>20250</v>
      </c>
      <c r="H54" s="75">
        <f t="shared" si="5"/>
        <v>3037.5</v>
      </c>
      <c r="I54" s="76">
        <v>42704</v>
      </c>
      <c r="J54" s="76">
        <f t="shared" si="2"/>
        <v>42794</v>
      </c>
      <c r="K54" s="75">
        <f t="shared" si="3"/>
        <v>405</v>
      </c>
      <c r="L54" s="75">
        <f t="shared" si="4"/>
        <v>22882.5</v>
      </c>
      <c r="M54" s="75">
        <v>22883</v>
      </c>
      <c r="N54" s="14"/>
      <c r="O54" s="10" t="s">
        <v>44</v>
      </c>
      <c r="P54" s="14">
        <v>538</v>
      </c>
    </row>
    <row r="55" spans="1:16" ht="12.75" x14ac:dyDescent="0.2">
      <c r="A55" s="14" t="s">
        <v>541</v>
      </c>
      <c r="B55" s="14"/>
      <c r="C55" s="14" t="s">
        <v>547</v>
      </c>
      <c r="D55" s="14" t="s">
        <v>61</v>
      </c>
      <c r="E55" s="181" t="s">
        <v>546</v>
      </c>
      <c r="F55" s="75">
        <f t="shared" si="6"/>
        <v>18791</v>
      </c>
      <c r="G55" s="75">
        <v>16340</v>
      </c>
      <c r="H55" s="75">
        <f t="shared" si="5"/>
        <v>2451</v>
      </c>
      <c r="I55" s="76">
        <v>42664</v>
      </c>
      <c r="J55" s="76">
        <f t="shared" si="2"/>
        <v>42754</v>
      </c>
      <c r="K55" s="75">
        <f t="shared" si="3"/>
        <v>326.8</v>
      </c>
      <c r="L55" s="75">
        <f t="shared" si="4"/>
        <v>18464.2</v>
      </c>
      <c r="M55" s="75">
        <v>18467</v>
      </c>
      <c r="N55" s="14"/>
      <c r="O55" s="10" t="s">
        <v>44</v>
      </c>
      <c r="P55" s="14">
        <v>538</v>
      </c>
    </row>
    <row r="56" spans="1:16" ht="12.75" x14ac:dyDescent="0.2">
      <c r="A56" s="14" t="s">
        <v>560</v>
      </c>
      <c r="B56" s="14"/>
      <c r="C56" s="14" t="s">
        <v>595</v>
      </c>
      <c r="D56" s="14" t="s">
        <v>61</v>
      </c>
      <c r="E56" s="181" t="s">
        <v>594</v>
      </c>
      <c r="F56" s="75">
        <f t="shared" si="6"/>
        <v>33637.5</v>
      </c>
      <c r="G56" s="75">
        <f>650000/1000*45</f>
        <v>29250</v>
      </c>
      <c r="H56" s="75">
        <f t="shared" si="5"/>
        <v>4387.5</v>
      </c>
      <c r="I56" s="76">
        <v>43095</v>
      </c>
      <c r="J56" s="76">
        <f t="shared" si="2"/>
        <v>43185</v>
      </c>
      <c r="K56" s="75">
        <f t="shared" si="3"/>
        <v>585</v>
      </c>
      <c r="L56" s="75">
        <f t="shared" si="4"/>
        <v>33052.5</v>
      </c>
      <c r="M56" s="75">
        <v>33053</v>
      </c>
      <c r="N56" s="14"/>
      <c r="O56" s="10" t="s">
        <v>44</v>
      </c>
      <c r="P56" s="14">
        <v>489</v>
      </c>
    </row>
    <row r="57" spans="1:16" ht="12.75" x14ac:dyDescent="0.2">
      <c r="A57" s="14" t="s">
        <v>560</v>
      </c>
      <c r="B57" s="14"/>
      <c r="C57" s="14" t="s">
        <v>525</v>
      </c>
      <c r="D57" s="14" t="s">
        <v>95</v>
      </c>
      <c r="E57" s="181" t="s">
        <v>609</v>
      </c>
      <c r="F57" s="75">
        <f t="shared" si="6"/>
        <v>2875</v>
      </c>
      <c r="G57" s="75">
        <v>2500</v>
      </c>
      <c r="H57" s="75">
        <f t="shared" si="5"/>
        <v>375</v>
      </c>
      <c r="I57" s="76">
        <v>43099</v>
      </c>
      <c r="J57" s="76">
        <f t="shared" si="2"/>
        <v>43189</v>
      </c>
      <c r="K57" s="75">
        <f t="shared" si="3"/>
        <v>50</v>
      </c>
      <c r="L57" s="75">
        <f t="shared" si="4"/>
        <v>2825</v>
      </c>
      <c r="M57" s="75">
        <v>2825</v>
      </c>
      <c r="N57" s="14"/>
      <c r="O57" s="10" t="s">
        <v>44</v>
      </c>
      <c r="P57" s="14">
        <v>489</v>
      </c>
    </row>
    <row r="58" spans="1:16" ht="12.75" x14ac:dyDescent="0.2">
      <c r="A58" s="14" t="s">
        <v>683</v>
      </c>
      <c r="B58" s="14"/>
      <c r="C58" s="14" t="s">
        <v>678</v>
      </c>
      <c r="D58" s="14" t="s">
        <v>61</v>
      </c>
      <c r="E58" s="181" t="s">
        <v>677</v>
      </c>
      <c r="F58" s="75">
        <f t="shared" si="6"/>
        <v>105147.95</v>
      </c>
      <c r="G58" s="75">
        <v>91433</v>
      </c>
      <c r="H58" s="75">
        <f t="shared" si="5"/>
        <v>13714.949999999999</v>
      </c>
      <c r="I58" s="76">
        <v>42759</v>
      </c>
      <c r="J58" s="76">
        <f t="shared" si="2"/>
        <v>42849</v>
      </c>
      <c r="K58" s="75">
        <f t="shared" si="3"/>
        <v>1828.66</v>
      </c>
      <c r="L58" s="75">
        <f t="shared" si="4"/>
        <v>103319.29</v>
      </c>
      <c r="M58" s="75">
        <v>103319</v>
      </c>
      <c r="N58" s="14"/>
      <c r="O58" s="10" t="s">
        <v>44</v>
      </c>
      <c r="P58" s="14">
        <v>489</v>
      </c>
    </row>
    <row r="59" spans="1:16" ht="12.75" x14ac:dyDescent="0.2">
      <c r="A59" s="14" t="s">
        <v>683</v>
      </c>
      <c r="B59" s="14"/>
      <c r="C59" s="14" t="s">
        <v>680</v>
      </c>
      <c r="D59" s="14" t="s">
        <v>61</v>
      </c>
      <c r="E59" s="181" t="s">
        <v>679</v>
      </c>
      <c r="F59" s="75">
        <f t="shared" si="6"/>
        <v>128948.35</v>
      </c>
      <c r="G59" s="75">
        <v>112129</v>
      </c>
      <c r="H59" s="75">
        <f t="shared" si="5"/>
        <v>16819.349999999999</v>
      </c>
      <c r="I59" s="76">
        <v>42759</v>
      </c>
      <c r="J59" s="76">
        <f t="shared" si="2"/>
        <v>42849</v>
      </c>
      <c r="K59" s="75">
        <f t="shared" si="3"/>
        <v>2242.58</v>
      </c>
      <c r="L59" s="75">
        <f t="shared" si="4"/>
        <v>126705.77</v>
      </c>
      <c r="M59" s="75">
        <v>126706</v>
      </c>
      <c r="N59" s="14"/>
      <c r="O59" s="10" t="s">
        <v>44</v>
      </c>
      <c r="P59" s="14">
        <v>489</v>
      </c>
    </row>
    <row r="60" spans="1:16" ht="12.75" x14ac:dyDescent="0.2">
      <c r="A60" s="14" t="s">
        <v>683</v>
      </c>
      <c r="B60" s="14"/>
      <c r="C60" s="14" t="s">
        <v>680</v>
      </c>
      <c r="D60" s="14" t="s">
        <v>95</v>
      </c>
      <c r="E60" s="181" t="s">
        <v>681</v>
      </c>
      <c r="F60" s="75">
        <f t="shared" si="6"/>
        <v>18624.25</v>
      </c>
      <c r="G60" s="75">
        <v>16195</v>
      </c>
      <c r="H60" s="75">
        <f t="shared" si="5"/>
        <v>2429.25</v>
      </c>
      <c r="I60" s="76">
        <v>42759</v>
      </c>
      <c r="J60" s="76">
        <f t="shared" si="2"/>
        <v>42849</v>
      </c>
      <c r="K60" s="75">
        <f t="shared" ref="K60:K66" si="7">G60*2%</f>
        <v>323.90000000000003</v>
      </c>
      <c r="L60" s="75">
        <f t="shared" ref="L60:L66" si="8">F60-K60</f>
        <v>18300.349999999999</v>
      </c>
      <c r="M60" s="75">
        <v>18300</v>
      </c>
      <c r="N60" s="14"/>
      <c r="O60" s="10" t="s">
        <v>44</v>
      </c>
      <c r="P60" s="14">
        <v>489</v>
      </c>
    </row>
    <row r="61" spans="1:16" ht="12.75" x14ac:dyDescent="0.2">
      <c r="A61" s="14" t="s">
        <v>683</v>
      </c>
      <c r="B61" s="14"/>
      <c r="C61" s="14" t="s">
        <v>678</v>
      </c>
      <c r="D61" s="14" t="s">
        <v>95</v>
      </c>
      <c r="E61" s="181" t="s">
        <v>682</v>
      </c>
      <c r="F61" s="75">
        <f t="shared" si="6"/>
        <v>2443.75</v>
      </c>
      <c r="G61" s="75">
        <v>2125</v>
      </c>
      <c r="H61" s="75">
        <f t="shared" si="5"/>
        <v>318.75</v>
      </c>
      <c r="I61" s="76">
        <v>42759</v>
      </c>
      <c r="J61" s="76">
        <f t="shared" si="2"/>
        <v>42849</v>
      </c>
      <c r="K61" s="75">
        <f t="shared" si="7"/>
        <v>42.5</v>
      </c>
      <c r="L61" s="75">
        <f t="shared" si="8"/>
        <v>2401.25</v>
      </c>
      <c r="M61" s="75">
        <v>2401</v>
      </c>
      <c r="N61" s="14"/>
      <c r="O61" s="10" t="s">
        <v>44</v>
      </c>
      <c r="P61" s="14">
        <v>489</v>
      </c>
    </row>
    <row r="62" spans="1:16" ht="12.75" x14ac:dyDescent="0.2">
      <c r="A62" s="14" t="s">
        <v>756</v>
      </c>
      <c r="B62" s="14"/>
      <c r="C62" s="14" t="s">
        <v>441</v>
      </c>
      <c r="D62" s="14" t="s">
        <v>61</v>
      </c>
      <c r="E62" s="181" t="s">
        <v>759</v>
      </c>
      <c r="F62" s="75">
        <f t="shared" si="6"/>
        <v>51750</v>
      </c>
      <c r="G62" s="75">
        <v>45000</v>
      </c>
      <c r="H62" s="75">
        <f t="shared" si="5"/>
        <v>6750</v>
      </c>
      <c r="I62" s="76">
        <v>42786</v>
      </c>
      <c r="J62" s="76">
        <f t="shared" si="2"/>
        <v>42876</v>
      </c>
      <c r="K62" s="75">
        <f t="shared" si="7"/>
        <v>900</v>
      </c>
      <c r="L62" s="75">
        <f t="shared" si="8"/>
        <v>50850</v>
      </c>
      <c r="M62" s="75">
        <v>50850</v>
      </c>
      <c r="N62" s="14"/>
      <c r="O62" s="10" t="s">
        <v>44</v>
      </c>
      <c r="P62" s="14">
        <v>592</v>
      </c>
    </row>
    <row r="63" spans="1:16" ht="12.75" x14ac:dyDescent="0.2">
      <c r="A63" s="14" t="s">
        <v>756</v>
      </c>
      <c r="B63" s="14"/>
      <c r="C63" s="14" t="s">
        <v>758</v>
      </c>
      <c r="D63" s="14" t="s">
        <v>84</v>
      </c>
      <c r="E63" s="181" t="s">
        <v>757</v>
      </c>
      <c r="F63" s="75">
        <f t="shared" si="6"/>
        <v>25875</v>
      </c>
      <c r="G63" s="75">
        <v>22500</v>
      </c>
      <c r="H63" s="75">
        <f t="shared" si="5"/>
        <v>3375</v>
      </c>
      <c r="I63" s="76">
        <v>42791</v>
      </c>
      <c r="J63" s="76">
        <f t="shared" si="2"/>
        <v>42881</v>
      </c>
      <c r="K63" s="75">
        <f t="shared" si="7"/>
        <v>450</v>
      </c>
      <c r="L63" s="75">
        <f t="shared" si="8"/>
        <v>25425</v>
      </c>
      <c r="M63" s="75">
        <v>25425</v>
      </c>
      <c r="N63" s="14"/>
      <c r="O63" s="10" t="s">
        <v>44</v>
      </c>
      <c r="P63" s="14">
        <v>592</v>
      </c>
    </row>
    <row r="64" spans="1:16" ht="12.75" x14ac:dyDescent="0.2">
      <c r="A64" s="17"/>
      <c r="B64" s="17"/>
      <c r="C64" s="17"/>
      <c r="D64" s="17"/>
      <c r="E64" s="86"/>
      <c r="F64" s="44">
        <f t="shared" si="6"/>
        <v>0</v>
      </c>
      <c r="G64" s="44"/>
      <c r="H64" s="44">
        <f t="shared" si="5"/>
        <v>0</v>
      </c>
      <c r="I64" s="17"/>
      <c r="J64" s="78">
        <f t="shared" si="2"/>
        <v>90</v>
      </c>
      <c r="K64" s="44">
        <f t="shared" si="7"/>
        <v>0</v>
      </c>
      <c r="L64" s="44">
        <f t="shared" si="8"/>
        <v>0</v>
      </c>
      <c r="M64" s="44"/>
      <c r="N64" s="17"/>
      <c r="O64" s="17"/>
      <c r="P64" s="17"/>
    </row>
    <row r="65" spans="1:16" ht="12.75" x14ac:dyDescent="0.2">
      <c r="A65" s="17"/>
      <c r="B65" s="17"/>
      <c r="C65" s="17"/>
      <c r="D65" s="17"/>
      <c r="E65" s="86"/>
      <c r="F65" s="44">
        <f t="shared" si="6"/>
        <v>0</v>
      </c>
      <c r="G65" s="44"/>
      <c r="H65" s="44">
        <f t="shared" si="5"/>
        <v>0</v>
      </c>
      <c r="I65" s="17"/>
      <c r="J65" s="78">
        <f t="shared" si="2"/>
        <v>90</v>
      </c>
      <c r="K65" s="44">
        <f t="shared" si="7"/>
        <v>0</v>
      </c>
      <c r="L65" s="44">
        <f t="shared" si="8"/>
        <v>0</v>
      </c>
      <c r="M65" s="44"/>
      <c r="N65" s="17"/>
      <c r="O65" s="17"/>
      <c r="P65" s="17"/>
    </row>
    <row r="66" spans="1:16" ht="12.75" x14ac:dyDescent="0.2">
      <c r="A66" s="17"/>
      <c r="B66" s="17"/>
      <c r="C66" s="17"/>
      <c r="D66" s="17"/>
      <c r="E66" s="86"/>
      <c r="F66" s="44">
        <f t="shared" si="6"/>
        <v>0</v>
      </c>
      <c r="G66" s="44"/>
      <c r="H66" s="44">
        <f t="shared" si="5"/>
        <v>0</v>
      </c>
      <c r="I66" s="17"/>
      <c r="J66" s="78">
        <f t="shared" si="2"/>
        <v>90</v>
      </c>
      <c r="K66" s="44">
        <f t="shared" si="7"/>
        <v>0</v>
      </c>
      <c r="L66" s="44">
        <f t="shared" si="8"/>
        <v>0</v>
      </c>
      <c r="M66" s="44"/>
      <c r="N66" s="17"/>
      <c r="O66" s="17"/>
      <c r="P66" s="17"/>
    </row>
    <row r="67" spans="1:16" ht="12.75" x14ac:dyDescent="0.2">
      <c r="A67" s="17"/>
      <c r="B67" s="17"/>
      <c r="C67" s="17"/>
      <c r="D67" s="17"/>
      <c r="E67" s="86"/>
      <c r="F67" s="44">
        <f t="shared" si="6"/>
        <v>0</v>
      </c>
      <c r="G67" s="44"/>
      <c r="H67" s="44">
        <f t="shared" si="5"/>
        <v>0</v>
      </c>
      <c r="I67" s="17"/>
      <c r="J67" s="78">
        <f t="shared" si="2"/>
        <v>90</v>
      </c>
      <c r="K67" s="44">
        <f t="shared" si="3"/>
        <v>0</v>
      </c>
      <c r="L67" s="44">
        <f t="shared" si="4"/>
        <v>0</v>
      </c>
      <c r="M67" s="44"/>
      <c r="N67" s="17"/>
      <c r="O67" s="17"/>
      <c r="P67" s="17"/>
    </row>
    <row r="68" spans="1:16" ht="12.75" x14ac:dyDescent="0.2">
      <c r="A68" s="17"/>
      <c r="B68" s="17"/>
      <c r="C68" s="17"/>
      <c r="D68" s="17"/>
      <c r="E68" s="86"/>
      <c r="F68" s="44">
        <f t="shared" si="6"/>
        <v>0</v>
      </c>
      <c r="G68" s="44"/>
      <c r="H68" s="44">
        <f t="shared" si="5"/>
        <v>0</v>
      </c>
      <c r="I68" s="17"/>
      <c r="J68" s="78">
        <f t="shared" si="2"/>
        <v>90</v>
      </c>
      <c r="K68" s="44">
        <f t="shared" si="3"/>
        <v>0</v>
      </c>
      <c r="L68" s="44">
        <f t="shared" si="4"/>
        <v>0</v>
      </c>
      <c r="M68" s="44"/>
      <c r="N68" s="17"/>
      <c r="O68" s="17"/>
      <c r="P68" s="17"/>
    </row>
    <row r="69" spans="1:16" ht="12.75" x14ac:dyDescent="0.2">
      <c r="A69" s="17"/>
      <c r="B69" s="17"/>
      <c r="C69" s="17"/>
      <c r="D69" s="17"/>
      <c r="E69" s="86"/>
      <c r="F69" s="44">
        <f t="shared" si="6"/>
        <v>0</v>
      </c>
      <c r="G69" s="44"/>
      <c r="H69" s="44">
        <f t="shared" si="5"/>
        <v>0</v>
      </c>
      <c r="I69" s="17"/>
      <c r="J69" s="78">
        <f t="shared" si="2"/>
        <v>90</v>
      </c>
      <c r="K69" s="44">
        <f t="shared" si="3"/>
        <v>0</v>
      </c>
      <c r="L69" s="44">
        <f t="shared" si="4"/>
        <v>0</v>
      </c>
      <c r="M69" s="44"/>
      <c r="N69" s="17"/>
      <c r="O69" s="17"/>
      <c r="P69" s="17"/>
    </row>
    <row r="70" spans="1:16" ht="12.75" x14ac:dyDescent="0.2">
      <c r="A70" s="17"/>
      <c r="B70" s="17"/>
      <c r="C70" s="17"/>
      <c r="D70" s="17"/>
      <c r="E70" s="86"/>
      <c r="F70" s="44">
        <f t="shared" si="6"/>
        <v>0</v>
      </c>
      <c r="G70" s="44"/>
      <c r="H70" s="44">
        <f t="shared" si="5"/>
        <v>0</v>
      </c>
      <c r="I70" s="17"/>
      <c r="J70" s="78">
        <f t="shared" si="2"/>
        <v>90</v>
      </c>
      <c r="K70" s="44">
        <f t="shared" si="3"/>
        <v>0</v>
      </c>
      <c r="L70" s="44">
        <f t="shared" si="4"/>
        <v>0</v>
      </c>
      <c r="M70" s="44"/>
      <c r="N70" s="17"/>
      <c r="O70" s="17"/>
      <c r="P70" s="17"/>
    </row>
    <row r="71" spans="1:16" ht="12.75" x14ac:dyDescent="0.2">
      <c r="A71" s="17"/>
      <c r="B71" s="17"/>
      <c r="C71" s="17"/>
      <c r="D71" s="17"/>
      <c r="E71" s="86"/>
      <c r="F71" s="44">
        <f t="shared" si="0"/>
        <v>0</v>
      </c>
      <c r="G71" s="44"/>
      <c r="H71" s="44">
        <f t="shared" si="5"/>
        <v>0</v>
      </c>
      <c r="I71" s="17"/>
      <c r="J71" s="78">
        <f t="shared" si="2"/>
        <v>90</v>
      </c>
      <c r="K71" s="44">
        <f t="shared" si="3"/>
        <v>0</v>
      </c>
      <c r="L71" s="44">
        <f t="shared" si="4"/>
        <v>0</v>
      </c>
      <c r="M71" s="44"/>
      <c r="N71" s="17"/>
      <c r="O71" s="17"/>
      <c r="P71" s="17"/>
    </row>
    <row r="73" spans="1:16" ht="23.25" x14ac:dyDescent="0.35">
      <c r="C73" s="88"/>
      <c r="D73" s="88"/>
      <c r="E73" s="89" t="s">
        <v>38</v>
      </c>
      <c r="F73" s="33">
        <f>SUM(F3:F71)</f>
        <v>3094701.85335</v>
      </c>
      <c r="G73" s="33">
        <f>SUM(G3:G71)</f>
        <v>2694391.05</v>
      </c>
      <c r="H73" s="33">
        <f>SUM(H3:H71)</f>
        <v>400310.80334999994</v>
      </c>
      <c r="I73" s="34"/>
      <c r="J73" s="34"/>
      <c r="K73" s="33">
        <f>SUM(K3:K71)</f>
        <v>53887.821000000011</v>
      </c>
      <c r="L73" s="33">
        <f>SUM(L3:L71)</f>
        <v>3040814.03235</v>
      </c>
      <c r="M73" s="33">
        <f>SUM(M3:M71)</f>
        <v>3040824</v>
      </c>
    </row>
    <row r="74" spans="1:16" ht="18.75" x14ac:dyDescent="0.3">
      <c r="E74" s="7" t="s">
        <v>39</v>
      </c>
    </row>
  </sheetData>
  <hyperlinks>
    <hyperlink ref="E73" location="HOME!A1" display="HOME" xr:uid="{00000000-0004-0000-0700-000000000000}"/>
    <hyperlink ref="E74" location="MONTHWISE!A1" display="Monthwise" xr:uid="{00000000-0004-0000-0700-000001000000}"/>
    <hyperlink ref="A2" location="HOME!A1" display="HOME" xr:uid="{00000000-0004-0000-0700-000002000000}"/>
    <hyperlink ref="B2" location="MONTHWISE!A1" display="Monthwise" xr:uid="{00000000-0004-0000-0700-000003000000}"/>
  </hyperlinks>
  <pageMargins left="0.7" right="0.7" top="0.75" bottom="0.75" header="0.3" footer="0.3"/>
  <pageSetup paperSize="9" orientation="landscape" verticalDpi="30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8"/>
  <sheetViews>
    <sheetView workbookViewId="0">
      <selection activeCell="M19" sqref="M19"/>
    </sheetView>
  </sheetViews>
  <sheetFormatPr defaultColWidth="9.140625" defaultRowHeight="12" x14ac:dyDescent="0.2"/>
  <cols>
    <col min="1" max="1" width="11.7109375" style="90" bestFit="1" customWidth="1"/>
    <col min="2" max="2" width="16.140625" style="90" bestFit="1" customWidth="1"/>
    <col min="3" max="3" width="11.42578125" style="90" bestFit="1" customWidth="1"/>
    <col min="4" max="4" width="5.5703125" style="90" bestFit="1" customWidth="1"/>
    <col min="5" max="5" width="20.42578125" style="109" bestFit="1" customWidth="1"/>
    <col min="6" max="6" width="10.42578125" style="108" bestFit="1" customWidth="1"/>
    <col min="7" max="7" width="9.28515625" style="108" bestFit="1" customWidth="1"/>
    <col min="8" max="8" width="8.7109375" style="108" bestFit="1" customWidth="1"/>
    <col min="9" max="9" width="10.7109375" style="90" bestFit="1" customWidth="1"/>
    <col min="10" max="10" width="7.42578125" style="109" bestFit="1" customWidth="1"/>
    <col min="11" max="11" width="6.5703125" style="108" bestFit="1" customWidth="1"/>
    <col min="12" max="12" width="12.140625" style="108" bestFit="1" customWidth="1"/>
    <col min="13" max="13" width="13.5703125" style="90" bestFit="1" customWidth="1"/>
    <col min="14" max="14" width="14.85546875" style="90" bestFit="1" customWidth="1"/>
    <col min="15" max="15" width="5.42578125" style="90" bestFit="1" customWidth="1"/>
    <col min="16" max="16" width="8.5703125" style="90" bestFit="1" customWidth="1"/>
    <col min="17" max="16384" width="9.140625" style="90"/>
  </cols>
  <sheetData>
    <row r="1" spans="1:16" x14ac:dyDescent="0.2">
      <c r="A1" s="35" t="s">
        <v>23</v>
      </c>
      <c r="B1" s="36" t="s">
        <v>244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ht="12.75" x14ac:dyDescent="0.2">
      <c r="A2" s="91" t="s">
        <v>245</v>
      </c>
      <c r="B2" s="91" t="s">
        <v>246</v>
      </c>
      <c r="C2" s="92"/>
      <c r="D2" s="10"/>
      <c r="E2" s="93" t="s">
        <v>247</v>
      </c>
      <c r="F2" s="74">
        <f t="shared" ref="F2:F26" si="0">SUM(G2:H2)</f>
        <v>15223.92</v>
      </c>
      <c r="G2" s="12">
        <v>13296</v>
      </c>
      <c r="H2" s="75">
        <f>G2*14.5%</f>
        <v>1927.9199999999998</v>
      </c>
      <c r="I2" s="94">
        <v>42399</v>
      </c>
      <c r="J2" s="76">
        <f>I2+90</f>
        <v>42489</v>
      </c>
      <c r="K2" s="75">
        <f>G2*2%</f>
        <v>265.92</v>
      </c>
      <c r="L2" s="75">
        <f>F2-K2</f>
        <v>14958</v>
      </c>
      <c r="M2" s="12">
        <v>14957</v>
      </c>
      <c r="N2" s="10" t="s">
        <v>248</v>
      </c>
      <c r="O2" s="10" t="s">
        <v>44</v>
      </c>
      <c r="P2" s="68" t="s">
        <v>122</v>
      </c>
    </row>
    <row r="3" spans="1:16" ht="12.75" x14ac:dyDescent="0.2">
      <c r="A3" s="91" t="s">
        <v>184</v>
      </c>
      <c r="B3" s="10" t="s">
        <v>249</v>
      </c>
      <c r="C3" s="10"/>
      <c r="D3" s="10"/>
      <c r="E3" s="93" t="s">
        <v>250</v>
      </c>
      <c r="F3" s="74">
        <f t="shared" si="0"/>
        <v>135973.32999999999</v>
      </c>
      <c r="G3" s="12">
        <v>118754</v>
      </c>
      <c r="H3" s="75">
        <f t="shared" ref="H3:H8" si="1">G3*14.5%</f>
        <v>17219.329999999998</v>
      </c>
      <c r="I3" s="10"/>
      <c r="J3" s="93"/>
      <c r="K3" s="75">
        <f t="shared" ref="K3:K26" si="2">G3*2%</f>
        <v>2375.08</v>
      </c>
      <c r="L3" s="75">
        <f t="shared" ref="L3:L26" si="3">F3-K3</f>
        <v>133598.25</v>
      </c>
      <c r="M3" s="12">
        <v>133598.91</v>
      </c>
      <c r="N3" s="10" t="s">
        <v>251</v>
      </c>
      <c r="O3" s="10" t="s">
        <v>44</v>
      </c>
      <c r="P3" s="68" t="s">
        <v>122</v>
      </c>
    </row>
    <row r="4" spans="1:16" ht="12.75" x14ac:dyDescent="0.2">
      <c r="A4" s="91" t="s">
        <v>252</v>
      </c>
      <c r="B4" s="91" t="s">
        <v>246</v>
      </c>
      <c r="C4" s="10"/>
      <c r="D4" s="10"/>
      <c r="E4" s="93" t="s">
        <v>253</v>
      </c>
      <c r="F4" s="74">
        <f t="shared" si="0"/>
        <v>17573.46</v>
      </c>
      <c r="G4" s="12">
        <v>15348</v>
      </c>
      <c r="H4" s="75">
        <f t="shared" si="1"/>
        <v>2225.46</v>
      </c>
      <c r="I4" s="10"/>
      <c r="J4" s="93"/>
      <c r="K4" s="75">
        <f t="shared" si="2"/>
        <v>306.95999999999998</v>
      </c>
      <c r="L4" s="75">
        <f t="shared" si="3"/>
        <v>17266.5</v>
      </c>
      <c r="M4" s="12">
        <v>17267</v>
      </c>
      <c r="N4" s="10" t="s">
        <v>861</v>
      </c>
      <c r="O4" s="10" t="s">
        <v>44</v>
      </c>
      <c r="P4" s="68" t="s">
        <v>122</v>
      </c>
    </row>
    <row r="5" spans="1:16" ht="12.75" x14ac:dyDescent="0.2">
      <c r="A5" s="91" t="s">
        <v>70</v>
      </c>
      <c r="B5" s="10" t="s">
        <v>254</v>
      </c>
      <c r="C5" s="10"/>
      <c r="D5" s="10"/>
      <c r="E5" s="93" t="s">
        <v>255</v>
      </c>
      <c r="F5" s="74">
        <f t="shared" si="0"/>
        <v>7041.75</v>
      </c>
      <c r="G5" s="12">
        <v>6150</v>
      </c>
      <c r="H5" s="75">
        <f t="shared" si="1"/>
        <v>891.74999999999989</v>
      </c>
      <c r="I5" s="10"/>
      <c r="J5" s="93"/>
      <c r="K5" s="75">
        <f t="shared" si="2"/>
        <v>123</v>
      </c>
      <c r="L5" s="75">
        <f t="shared" si="3"/>
        <v>6918.75</v>
      </c>
      <c r="M5" s="12">
        <v>6919</v>
      </c>
      <c r="N5" s="10" t="s">
        <v>256</v>
      </c>
      <c r="O5" s="10" t="s">
        <v>44</v>
      </c>
      <c r="P5" s="68" t="s">
        <v>122</v>
      </c>
    </row>
    <row r="6" spans="1:16" ht="12.75" x14ac:dyDescent="0.2">
      <c r="A6" s="91" t="s">
        <v>70</v>
      </c>
      <c r="B6" s="10" t="s">
        <v>254</v>
      </c>
      <c r="C6" s="10"/>
      <c r="D6" s="10"/>
      <c r="E6" s="93" t="s">
        <v>257</v>
      </c>
      <c r="F6" s="74">
        <f t="shared" si="0"/>
        <v>5633.4</v>
      </c>
      <c r="G6" s="12">
        <v>4920</v>
      </c>
      <c r="H6" s="75">
        <f t="shared" si="1"/>
        <v>713.4</v>
      </c>
      <c r="I6" s="10"/>
      <c r="J6" s="93"/>
      <c r="K6" s="75">
        <f t="shared" si="2"/>
        <v>98.4</v>
      </c>
      <c r="L6" s="75">
        <f t="shared" si="3"/>
        <v>5535</v>
      </c>
      <c r="M6" s="10">
        <v>5536</v>
      </c>
      <c r="N6" s="10" t="s">
        <v>256</v>
      </c>
      <c r="O6" s="10" t="s">
        <v>44</v>
      </c>
      <c r="P6" s="68" t="s">
        <v>122</v>
      </c>
    </row>
    <row r="7" spans="1:16" ht="12.75" x14ac:dyDescent="0.2">
      <c r="A7" s="91" t="s">
        <v>70</v>
      </c>
      <c r="B7" s="10" t="s">
        <v>254</v>
      </c>
      <c r="C7" s="100"/>
      <c r="D7" s="100"/>
      <c r="E7" s="101" t="s">
        <v>258</v>
      </c>
      <c r="F7" s="74">
        <f t="shared" si="0"/>
        <v>14369.75</v>
      </c>
      <c r="G7" s="102">
        <v>12550</v>
      </c>
      <c r="H7" s="75">
        <f t="shared" si="1"/>
        <v>1819.7499999999998</v>
      </c>
      <c r="I7" s="100"/>
      <c r="J7" s="101"/>
      <c r="K7" s="75">
        <f t="shared" si="2"/>
        <v>251</v>
      </c>
      <c r="L7" s="75">
        <f t="shared" si="3"/>
        <v>14118.75</v>
      </c>
      <c r="M7" s="100">
        <v>14118</v>
      </c>
      <c r="N7" s="100" t="s">
        <v>871</v>
      </c>
      <c r="O7" s="10" t="s">
        <v>44</v>
      </c>
      <c r="P7" s="68" t="s">
        <v>122</v>
      </c>
    </row>
    <row r="8" spans="1:16" ht="12.75" x14ac:dyDescent="0.2">
      <c r="A8" s="91" t="s">
        <v>70</v>
      </c>
      <c r="B8" s="10" t="s">
        <v>254</v>
      </c>
      <c r="C8" s="100"/>
      <c r="D8" s="100"/>
      <c r="E8" s="101" t="s">
        <v>259</v>
      </c>
      <c r="F8" s="74">
        <f t="shared" si="0"/>
        <v>515.25</v>
      </c>
      <c r="G8" s="102">
        <v>450</v>
      </c>
      <c r="H8" s="75">
        <f t="shared" si="1"/>
        <v>65.25</v>
      </c>
      <c r="I8" s="100"/>
      <c r="J8" s="101"/>
      <c r="K8" s="75">
        <f t="shared" si="2"/>
        <v>9</v>
      </c>
      <c r="L8" s="75">
        <f t="shared" si="3"/>
        <v>506.25</v>
      </c>
      <c r="M8" s="100">
        <v>506</v>
      </c>
      <c r="N8" s="100" t="s">
        <v>871</v>
      </c>
      <c r="O8" s="10" t="s">
        <v>44</v>
      </c>
      <c r="P8" s="68" t="s">
        <v>122</v>
      </c>
    </row>
    <row r="9" spans="1:16" ht="12.75" x14ac:dyDescent="0.2">
      <c r="A9" s="100" t="s">
        <v>260</v>
      </c>
      <c r="B9" s="10" t="s">
        <v>254</v>
      </c>
      <c r="C9" s="100"/>
      <c r="D9" s="100"/>
      <c r="E9" s="101" t="s">
        <v>261</v>
      </c>
      <c r="F9" s="74">
        <f t="shared" si="0"/>
        <v>5554.5</v>
      </c>
      <c r="G9" s="102">
        <v>4830</v>
      </c>
      <c r="H9" s="75">
        <f>G9*15%</f>
        <v>724.5</v>
      </c>
      <c r="I9" s="100"/>
      <c r="J9" s="101"/>
      <c r="K9" s="75">
        <f t="shared" si="2"/>
        <v>96.600000000000009</v>
      </c>
      <c r="L9" s="75">
        <f t="shared" si="3"/>
        <v>5457.9</v>
      </c>
      <c r="M9" s="100">
        <v>5457</v>
      </c>
      <c r="N9" s="100" t="s">
        <v>262</v>
      </c>
      <c r="O9" s="10" t="s">
        <v>44</v>
      </c>
      <c r="P9" s="68" t="s">
        <v>122</v>
      </c>
    </row>
    <row r="10" spans="1:16" ht="12.75" x14ac:dyDescent="0.2">
      <c r="A10" s="100" t="s">
        <v>263</v>
      </c>
      <c r="B10" s="10" t="s">
        <v>249</v>
      </c>
      <c r="C10" s="100" t="s">
        <v>264</v>
      </c>
      <c r="D10" s="100"/>
      <c r="E10" s="101" t="s">
        <v>265</v>
      </c>
      <c r="F10" s="74">
        <f t="shared" si="0"/>
        <v>129061.05</v>
      </c>
      <c r="G10" s="102">
        <v>112227</v>
      </c>
      <c r="H10" s="75">
        <f t="shared" ref="H10:H26" si="4">G10*15%</f>
        <v>16834.05</v>
      </c>
      <c r="I10" s="100"/>
      <c r="J10" s="101"/>
      <c r="K10" s="75">
        <f t="shared" si="2"/>
        <v>2244.54</v>
      </c>
      <c r="L10" s="75">
        <f t="shared" si="3"/>
        <v>126816.51000000001</v>
      </c>
      <c r="M10" s="100">
        <v>126816.46</v>
      </c>
      <c r="N10" s="100" t="s">
        <v>364</v>
      </c>
      <c r="O10" s="10" t="s">
        <v>44</v>
      </c>
      <c r="P10" s="68" t="s">
        <v>122</v>
      </c>
    </row>
    <row r="11" spans="1:16" ht="12.75" x14ac:dyDescent="0.2">
      <c r="A11" s="100" t="s">
        <v>263</v>
      </c>
      <c r="B11" s="10" t="s">
        <v>249</v>
      </c>
      <c r="C11" s="100" t="s">
        <v>264</v>
      </c>
      <c r="D11" s="100"/>
      <c r="E11" s="101" t="s">
        <v>266</v>
      </c>
      <c r="F11" s="74">
        <f t="shared" si="0"/>
        <v>38982</v>
      </c>
      <c r="G11" s="102">
        <f>584*66.75</f>
        <v>38982</v>
      </c>
      <c r="H11" s="75">
        <v>0</v>
      </c>
      <c r="I11" s="100"/>
      <c r="J11" s="101"/>
      <c r="K11" s="75">
        <v>0</v>
      </c>
      <c r="L11" s="75">
        <f t="shared" si="3"/>
        <v>38982</v>
      </c>
      <c r="M11" s="253">
        <v>241053</v>
      </c>
      <c r="N11" s="100" t="s">
        <v>366</v>
      </c>
      <c r="O11" s="10" t="s">
        <v>44</v>
      </c>
      <c r="P11" s="68" t="s">
        <v>122</v>
      </c>
    </row>
    <row r="12" spans="1:16" ht="12.75" x14ac:dyDescent="0.2">
      <c r="A12" s="100" t="s">
        <v>263</v>
      </c>
      <c r="B12" s="10" t="s">
        <v>249</v>
      </c>
      <c r="C12" s="100" t="s">
        <v>264</v>
      </c>
      <c r="D12" s="100"/>
      <c r="E12" s="101" t="s">
        <v>267</v>
      </c>
      <c r="F12" s="74">
        <f t="shared" si="0"/>
        <v>116812.5</v>
      </c>
      <c r="G12" s="102">
        <f>1750*66.75</f>
        <v>116812.5</v>
      </c>
      <c r="H12" s="75">
        <v>0</v>
      </c>
      <c r="I12" s="100"/>
      <c r="J12" s="101"/>
      <c r="K12" s="75">
        <v>0</v>
      </c>
      <c r="L12" s="75">
        <f t="shared" si="3"/>
        <v>116812.5</v>
      </c>
      <c r="M12" s="254"/>
      <c r="N12" s="100" t="s">
        <v>366</v>
      </c>
      <c r="O12" s="10" t="s">
        <v>44</v>
      </c>
      <c r="P12" s="68" t="s">
        <v>122</v>
      </c>
    </row>
    <row r="13" spans="1:16" ht="12.75" x14ac:dyDescent="0.2">
      <c r="A13" s="100" t="s">
        <v>263</v>
      </c>
      <c r="B13" s="10" t="s">
        <v>249</v>
      </c>
      <c r="C13" s="100" t="s">
        <v>264</v>
      </c>
      <c r="D13" s="100"/>
      <c r="E13" s="101" t="s">
        <v>268</v>
      </c>
      <c r="F13" s="74">
        <f t="shared" si="0"/>
        <v>88777.5</v>
      </c>
      <c r="G13" s="102">
        <f>1330*66.75</f>
        <v>88777.5</v>
      </c>
      <c r="H13" s="75">
        <v>0</v>
      </c>
      <c r="I13" s="100"/>
      <c r="J13" s="101"/>
      <c r="K13" s="75">
        <v>0</v>
      </c>
      <c r="L13" s="75">
        <f t="shared" si="3"/>
        <v>88777.5</v>
      </c>
      <c r="M13" s="255"/>
      <c r="N13" s="100" t="s">
        <v>366</v>
      </c>
      <c r="O13" s="10" t="s">
        <v>44</v>
      </c>
      <c r="P13" s="68" t="s">
        <v>122</v>
      </c>
    </row>
    <row r="14" spans="1:16" ht="12.75" x14ac:dyDescent="0.2">
      <c r="A14" s="100" t="s">
        <v>366</v>
      </c>
      <c r="B14" s="91" t="s">
        <v>246</v>
      </c>
      <c r="C14" s="100"/>
      <c r="D14" s="100"/>
      <c r="E14" s="101" t="s">
        <v>365</v>
      </c>
      <c r="F14" s="74">
        <f t="shared" si="0"/>
        <v>5061.1499999999996</v>
      </c>
      <c r="G14" s="102">
        <v>4401</v>
      </c>
      <c r="H14" s="75">
        <f t="shared" si="4"/>
        <v>660.15</v>
      </c>
      <c r="I14" s="100"/>
      <c r="J14" s="101"/>
      <c r="K14" s="75">
        <f t="shared" si="2"/>
        <v>88.02</v>
      </c>
      <c r="L14" s="75">
        <f t="shared" si="3"/>
        <v>4973.1299999999992</v>
      </c>
      <c r="M14" s="100">
        <v>4973</v>
      </c>
      <c r="N14" s="10" t="s">
        <v>861</v>
      </c>
      <c r="O14" s="10" t="s">
        <v>44</v>
      </c>
      <c r="P14" s="68" t="s">
        <v>122</v>
      </c>
    </row>
    <row r="15" spans="1:16" ht="12.75" x14ac:dyDescent="0.2">
      <c r="A15" s="100" t="s">
        <v>669</v>
      </c>
      <c r="B15" s="10" t="s">
        <v>249</v>
      </c>
      <c r="C15" s="100" t="s">
        <v>264</v>
      </c>
      <c r="D15" s="100"/>
      <c r="E15" s="101" t="s">
        <v>668</v>
      </c>
      <c r="F15" s="74">
        <f t="shared" si="0"/>
        <v>16687.5</v>
      </c>
      <c r="G15" s="102">
        <f>250*66.75</f>
        <v>16687.5</v>
      </c>
      <c r="H15" s="75">
        <v>0</v>
      </c>
      <c r="I15" s="100"/>
      <c r="J15" s="101"/>
      <c r="K15" s="75">
        <v>0</v>
      </c>
      <c r="L15" s="75">
        <f t="shared" si="3"/>
        <v>16687.5</v>
      </c>
      <c r="M15" s="100">
        <v>16688</v>
      </c>
      <c r="N15" s="100" t="s">
        <v>864</v>
      </c>
      <c r="O15" s="10" t="s">
        <v>44</v>
      </c>
      <c r="P15" s="68" t="s">
        <v>122</v>
      </c>
    </row>
    <row r="16" spans="1:16" ht="12.75" x14ac:dyDescent="0.2">
      <c r="A16" s="100" t="s">
        <v>857</v>
      </c>
      <c r="B16" s="10" t="s">
        <v>254</v>
      </c>
      <c r="C16" s="100"/>
      <c r="D16" s="100"/>
      <c r="E16" s="101" t="s">
        <v>855</v>
      </c>
      <c r="F16" s="74">
        <f t="shared" si="0"/>
        <v>3047.5</v>
      </c>
      <c r="G16" s="102">
        <v>2650</v>
      </c>
      <c r="H16" s="75">
        <f t="shared" si="4"/>
        <v>397.5</v>
      </c>
      <c r="I16" s="100"/>
      <c r="J16" s="101"/>
      <c r="K16" s="75">
        <f t="shared" si="2"/>
        <v>53</v>
      </c>
      <c r="L16" s="75">
        <f t="shared" si="3"/>
        <v>2994.5</v>
      </c>
      <c r="M16" s="100">
        <v>2994</v>
      </c>
      <c r="N16" s="100" t="s">
        <v>858</v>
      </c>
      <c r="O16" s="10" t="s">
        <v>44</v>
      </c>
      <c r="P16" s="68" t="s">
        <v>122</v>
      </c>
    </row>
    <row r="17" spans="1:16" ht="12.75" x14ac:dyDescent="0.2">
      <c r="A17" s="100" t="s">
        <v>857</v>
      </c>
      <c r="B17" s="10" t="s">
        <v>254</v>
      </c>
      <c r="C17" s="100"/>
      <c r="D17" s="100"/>
      <c r="E17" s="101" t="s">
        <v>856</v>
      </c>
      <c r="F17" s="74">
        <f t="shared" si="0"/>
        <v>5014</v>
      </c>
      <c r="G17" s="102">
        <v>4360</v>
      </c>
      <c r="H17" s="75">
        <f t="shared" si="4"/>
        <v>654</v>
      </c>
      <c r="I17" s="100"/>
      <c r="J17" s="101"/>
      <c r="K17" s="75">
        <f t="shared" si="2"/>
        <v>87.2</v>
      </c>
      <c r="L17" s="75">
        <f t="shared" si="3"/>
        <v>4926.8</v>
      </c>
      <c r="M17" s="100">
        <v>4927</v>
      </c>
      <c r="N17" s="100" t="s">
        <v>851</v>
      </c>
      <c r="O17" s="10" t="s">
        <v>44</v>
      </c>
      <c r="P17" s="68" t="s">
        <v>122</v>
      </c>
    </row>
    <row r="18" spans="1:16" ht="12.75" x14ac:dyDescent="0.2">
      <c r="A18" s="45"/>
      <c r="B18" s="45"/>
      <c r="C18" s="45"/>
      <c r="D18" s="45"/>
      <c r="E18" s="97"/>
      <c r="F18" s="41">
        <f t="shared" si="0"/>
        <v>0</v>
      </c>
      <c r="G18" s="98"/>
      <c r="H18" s="44">
        <f t="shared" si="4"/>
        <v>0</v>
      </c>
      <c r="I18" s="45"/>
      <c r="J18" s="97"/>
      <c r="K18" s="44">
        <f t="shared" si="2"/>
        <v>0</v>
      </c>
      <c r="L18" s="44">
        <f t="shared" si="3"/>
        <v>0</v>
      </c>
      <c r="M18" s="45"/>
      <c r="N18" s="45"/>
      <c r="O18" s="15"/>
      <c r="P18" s="19"/>
    </row>
    <row r="19" spans="1:16" ht="12.75" x14ac:dyDescent="0.2">
      <c r="A19" s="45"/>
      <c r="B19" s="45"/>
      <c r="C19" s="45"/>
      <c r="D19" s="45"/>
      <c r="E19" s="97"/>
      <c r="F19" s="41">
        <f t="shared" si="0"/>
        <v>0</v>
      </c>
      <c r="G19" s="98"/>
      <c r="H19" s="44">
        <f t="shared" si="4"/>
        <v>0</v>
      </c>
      <c r="I19" s="45"/>
      <c r="J19" s="97"/>
      <c r="K19" s="44">
        <f t="shared" si="2"/>
        <v>0</v>
      </c>
      <c r="L19" s="44">
        <f t="shared" si="3"/>
        <v>0</v>
      </c>
      <c r="M19" s="45"/>
      <c r="N19" s="45"/>
      <c r="O19" s="15"/>
      <c r="P19" s="19"/>
    </row>
    <row r="20" spans="1:16" ht="12.75" x14ac:dyDescent="0.2">
      <c r="A20" s="45"/>
      <c r="B20" s="45"/>
      <c r="C20" s="45"/>
      <c r="D20" s="45"/>
      <c r="E20" s="97"/>
      <c r="F20" s="41">
        <f t="shared" si="0"/>
        <v>0</v>
      </c>
      <c r="G20" s="98"/>
      <c r="H20" s="44">
        <f t="shared" si="4"/>
        <v>0</v>
      </c>
      <c r="I20" s="45"/>
      <c r="J20" s="97"/>
      <c r="K20" s="44">
        <f t="shared" si="2"/>
        <v>0</v>
      </c>
      <c r="L20" s="44">
        <f t="shared" si="3"/>
        <v>0</v>
      </c>
      <c r="M20" s="45"/>
      <c r="N20" s="45"/>
      <c r="O20" s="15"/>
      <c r="P20" s="19"/>
    </row>
    <row r="21" spans="1:16" ht="12.75" x14ac:dyDescent="0.2">
      <c r="A21" s="45"/>
      <c r="B21" s="45"/>
      <c r="C21" s="45"/>
      <c r="D21" s="45"/>
      <c r="E21" s="97"/>
      <c r="F21" s="41">
        <f t="shared" si="0"/>
        <v>0</v>
      </c>
      <c r="G21" s="98"/>
      <c r="H21" s="44">
        <f t="shared" si="4"/>
        <v>0</v>
      </c>
      <c r="I21" s="45"/>
      <c r="J21" s="97"/>
      <c r="K21" s="44">
        <f t="shared" si="2"/>
        <v>0</v>
      </c>
      <c r="L21" s="44">
        <f t="shared" si="3"/>
        <v>0</v>
      </c>
      <c r="M21" s="45"/>
      <c r="N21" s="45"/>
      <c r="O21" s="15"/>
      <c r="P21" s="19"/>
    </row>
    <row r="22" spans="1:16" ht="12.75" x14ac:dyDescent="0.2">
      <c r="A22" s="45"/>
      <c r="B22" s="45"/>
      <c r="C22" s="45"/>
      <c r="D22" s="45"/>
      <c r="E22" s="97"/>
      <c r="F22" s="41">
        <f t="shared" si="0"/>
        <v>0</v>
      </c>
      <c r="G22" s="98"/>
      <c r="H22" s="44">
        <f t="shared" si="4"/>
        <v>0</v>
      </c>
      <c r="I22" s="45"/>
      <c r="J22" s="97"/>
      <c r="K22" s="44">
        <f t="shared" si="2"/>
        <v>0</v>
      </c>
      <c r="L22" s="44">
        <f t="shared" si="3"/>
        <v>0</v>
      </c>
      <c r="M22" s="45"/>
      <c r="N22" s="45"/>
      <c r="O22" s="15"/>
      <c r="P22" s="19"/>
    </row>
    <row r="23" spans="1:16" ht="12.75" x14ac:dyDescent="0.2">
      <c r="A23" s="45"/>
      <c r="B23" s="45"/>
      <c r="C23" s="45"/>
      <c r="D23" s="45"/>
      <c r="E23" s="97"/>
      <c r="F23" s="41">
        <f t="shared" si="0"/>
        <v>0</v>
      </c>
      <c r="G23" s="98"/>
      <c r="H23" s="44">
        <f t="shared" si="4"/>
        <v>0</v>
      </c>
      <c r="I23" s="45"/>
      <c r="J23" s="97"/>
      <c r="K23" s="44">
        <f t="shared" si="2"/>
        <v>0</v>
      </c>
      <c r="L23" s="44">
        <f t="shared" si="3"/>
        <v>0</v>
      </c>
      <c r="M23" s="45"/>
      <c r="N23" s="45"/>
      <c r="O23" s="15"/>
      <c r="P23" s="99"/>
    </row>
    <row r="24" spans="1:16" ht="12.75" x14ac:dyDescent="0.2">
      <c r="A24" s="45"/>
      <c r="B24" s="45"/>
      <c r="C24" s="45"/>
      <c r="D24" s="45"/>
      <c r="E24" s="97"/>
      <c r="F24" s="41">
        <f t="shared" si="0"/>
        <v>0</v>
      </c>
      <c r="G24" s="98"/>
      <c r="H24" s="44">
        <f t="shared" si="4"/>
        <v>0</v>
      </c>
      <c r="I24" s="45"/>
      <c r="J24" s="97"/>
      <c r="K24" s="44">
        <f t="shared" si="2"/>
        <v>0</v>
      </c>
      <c r="L24" s="44">
        <f t="shared" si="3"/>
        <v>0</v>
      </c>
      <c r="M24" s="45"/>
      <c r="N24" s="45"/>
      <c r="O24" s="15"/>
      <c r="P24" s="99"/>
    </row>
    <row r="25" spans="1:16" ht="12.75" x14ac:dyDescent="0.2">
      <c r="A25" s="45"/>
      <c r="B25" s="45"/>
      <c r="C25" s="45"/>
      <c r="D25" s="45"/>
      <c r="E25" s="103"/>
      <c r="F25" s="41">
        <f t="shared" si="0"/>
        <v>0</v>
      </c>
      <c r="G25" s="98"/>
      <c r="H25" s="44">
        <f t="shared" si="4"/>
        <v>0</v>
      </c>
      <c r="I25" s="45"/>
      <c r="J25" s="97"/>
      <c r="K25" s="44">
        <f t="shared" si="2"/>
        <v>0</v>
      </c>
      <c r="L25" s="44">
        <f t="shared" si="3"/>
        <v>0</v>
      </c>
      <c r="M25" s="45"/>
      <c r="N25" s="45"/>
      <c r="O25" s="15"/>
      <c r="P25" s="99"/>
    </row>
    <row r="26" spans="1:16" ht="12.75" x14ac:dyDescent="0.2">
      <c r="A26" s="45"/>
      <c r="B26" s="45"/>
      <c r="C26" s="45"/>
      <c r="D26" s="45"/>
      <c r="E26" s="97"/>
      <c r="F26" s="41">
        <f t="shared" si="0"/>
        <v>0</v>
      </c>
      <c r="G26" s="98"/>
      <c r="H26" s="44">
        <f t="shared" si="4"/>
        <v>0</v>
      </c>
      <c r="I26" s="45"/>
      <c r="J26" s="97"/>
      <c r="K26" s="44">
        <f t="shared" si="2"/>
        <v>0</v>
      </c>
      <c r="L26" s="44">
        <f t="shared" si="3"/>
        <v>0</v>
      </c>
      <c r="M26" s="45"/>
      <c r="N26" s="45"/>
      <c r="O26" s="104"/>
      <c r="P26" s="105"/>
    </row>
    <row r="28" spans="1:16" ht="21" x14ac:dyDescent="0.35">
      <c r="E28" s="111" t="s">
        <v>38</v>
      </c>
      <c r="F28" s="106">
        <f>SUM(F2:F26)</f>
        <v>605328.55999999994</v>
      </c>
      <c r="G28" s="107">
        <f>SUM(G2:G26)</f>
        <v>561195.5</v>
      </c>
      <c r="H28" s="107">
        <f>SUM(H2:H26)</f>
        <v>44133.06</v>
      </c>
      <c r="I28" s="107"/>
      <c r="J28" s="106"/>
      <c r="K28" s="106">
        <f>SUM(K2:K26)</f>
        <v>5998.72</v>
      </c>
      <c r="L28" s="107">
        <f>SUM(L2:L26)</f>
        <v>599329.84000000008</v>
      </c>
      <c r="M28" s="107">
        <f>SUM(M2:M26)</f>
        <v>595810.37</v>
      </c>
    </row>
    <row r="29" spans="1:16" ht="18.75" x14ac:dyDescent="0.3">
      <c r="E29" s="48" t="s">
        <v>39</v>
      </c>
    </row>
    <row r="31" spans="1:16" ht="15" x14ac:dyDescent="0.25">
      <c r="N31" s="110">
        <v>28377</v>
      </c>
    </row>
    <row r="32" spans="1:16" ht="15" x14ac:dyDescent="0.25">
      <c r="N32">
        <v>232247</v>
      </c>
    </row>
    <row r="33" spans="11:15" ht="15" x14ac:dyDescent="0.25">
      <c r="K33" s="108">
        <f>L33-K6</f>
        <v>14.267999999999986</v>
      </c>
      <c r="L33" s="108">
        <f>F6*2%</f>
        <v>112.66799999999999</v>
      </c>
      <c r="M33" s="108">
        <f>F6-L33</f>
        <v>5520.732</v>
      </c>
      <c r="N33" s="110">
        <v>47638</v>
      </c>
    </row>
    <row r="34" spans="11:15" ht="15" x14ac:dyDescent="0.25">
      <c r="K34" s="108">
        <f>L34-K7</f>
        <v>36.394999999999982</v>
      </c>
      <c r="L34" s="108">
        <f>F7*2%</f>
        <v>287.39499999999998</v>
      </c>
      <c r="M34" s="108">
        <f>F7-L34</f>
        <v>14082.355</v>
      </c>
      <c r="N34" s="110">
        <v>1024</v>
      </c>
    </row>
    <row r="35" spans="11:15" x14ac:dyDescent="0.2">
      <c r="K35" s="108">
        <f>L35-K8</f>
        <v>1.3049999999999997</v>
      </c>
      <c r="L35" s="108">
        <f>F8*2%</f>
        <v>10.305</v>
      </c>
      <c r="M35" s="108">
        <f>F8-L35</f>
        <v>504.94499999999999</v>
      </c>
      <c r="O35" s="108"/>
    </row>
    <row r="36" spans="11:15" x14ac:dyDescent="0.2">
      <c r="O36" s="108"/>
    </row>
    <row r="37" spans="11:15" x14ac:dyDescent="0.2">
      <c r="O37" s="108"/>
    </row>
    <row r="38" spans="11:15" x14ac:dyDescent="0.2">
      <c r="O38" s="108"/>
    </row>
  </sheetData>
  <mergeCells count="1">
    <mergeCell ref="M11:M13"/>
  </mergeCells>
  <hyperlinks>
    <hyperlink ref="E28" location="HOME!A1" display="HOME" xr:uid="{00000000-0004-0000-0800-000000000000}"/>
    <hyperlink ref="E29" location="MONTHWISE!A1" display="Monthwise" xr:uid="{00000000-0004-0000-0800-000001000000}"/>
  </hyperlink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Q22"/>
  <sheetViews>
    <sheetView workbookViewId="0"/>
  </sheetViews>
  <sheetFormatPr defaultColWidth="9.140625" defaultRowHeight="12.75" x14ac:dyDescent="0.2"/>
  <cols>
    <col min="1" max="1" width="11.85546875" style="39" bestFit="1" customWidth="1"/>
    <col min="2" max="2" width="5.5703125" style="39" bestFit="1" customWidth="1"/>
    <col min="3" max="3" width="13.85546875" style="39" bestFit="1" customWidth="1"/>
    <col min="4" max="4" width="5.5703125" style="39" bestFit="1" customWidth="1"/>
    <col min="5" max="5" width="22.7109375" style="39" bestFit="1" customWidth="1"/>
    <col min="6" max="6" width="10.42578125" style="42" bestFit="1" customWidth="1"/>
    <col min="7" max="7" width="9.28515625" style="42" bestFit="1" customWidth="1"/>
    <col min="8" max="8" width="8.7109375" style="42" bestFit="1" customWidth="1"/>
    <col min="9" max="9" width="10.7109375" style="39" bestFit="1" customWidth="1"/>
    <col min="10" max="10" width="7.42578125" style="39" bestFit="1" customWidth="1"/>
    <col min="11" max="11" width="6.5703125" style="42" bestFit="1" customWidth="1"/>
    <col min="12" max="12" width="12.140625" style="42" bestFit="1" customWidth="1"/>
    <col min="13" max="13" width="13.5703125" style="42" bestFit="1" customWidth="1"/>
    <col min="14" max="14" width="14.85546875" style="42" bestFit="1" customWidth="1"/>
    <col min="15" max="15" width="5.42578125" style="39" bestFit="1" customWidth="1"/>
    <col min="16" max="16" width="9.7109375" style="39" bestFit="1" customWidth="1"/>
    <col min="17" max="17" width="6" style="39" bestFit="1" customWidth="1"/>
    <col min="18" max="16384" width="9.140625" style="39"/>
  </cols>
  <sheetData>
    <row r="1" spans="1:17" ht="13.5" thickBot="1" x14ac:dyDescent="0.25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64" t="s">
        <v>37</v>
      </c>
    </row>
    <row r="2" spans="1:17" ht="23.25" x14ac:dyDescent="0.35">
      <c r="A2" s="113"/>
      <c r="B2" s="256" t="s">
        <v>38</v>
      </c>
      <c r="C2" s="257"/>
      <c r="D2" s="114"/>
      <c r="E2" s="48" t="s">
        <v>39</v>
      </c>
      <c r="F2" s="54">
        <f>SUM(F3:F100)</f>
        <v>631770.04999999993</v>
      </c>
      <c r="G2" s="54">
        <f>SUM(G3:G100)</f>
        <v>550637.1</v>
      </c>
      <c r="H2" s="54">
        <f>SUM(H3:H100)</f>
        <v>81132.949999999983</v>
      </c>
      <c r="I2" s="53"/>
      <c r="J2" s="53"/>
      <c r="K2" s="54">
        <f>SUM(K3:K100)</f>
        <v>11012.741999999998</v>
      </c>
      <c r="L2" s="54">
        <f>SUM(L3:L100)</f>
        <v>620757.30799999996</v>
      </c>
      <c r="M2" s="54">
        <f>SUM(M3:M100)</f>
        <v>630817</v>
      </c>
      <c r="N2" s="54"/>
      <c r="O2" s="115"/>
      <c r="P2" s="116"/>
    </row>
    <row r="3" spans="1:17" s="90" customFormat="1" ht="15" x14ac:dyDescent="0.25">
      <c r="A3" s="170" t="s">
        <v>269</v>
      </c>
      <c r="B3" s="91"/>
      <c r="C3" s="91" t="s">
        <v>270</v>
      </c>
      <c r="D3" s="91" t="s">
        <v>61</v>
      </c>
      <c r="E3" s="91" t="s">
        <v>271</v>
      </c>
      <c r="F3" s="75">
        <f>SUM(G3:H3)</f>
        <v>168152.41</v>
      </c>
      <c r="G3" s="171">
        <v>146858</v>
      </c>
      <c r="H3" s="75">
        <f>G3*14.5%</f>
        <v>21294.41</v>
      </c>
      <c r="I3" s="94">
        <v>42514</v>
      </c>
      <c r="J3" s="76">
        <f>I3+70</f>
        <v>42584</v>
      </c>
      <c r="K3" s="75">
        <f>G3*2%</f>
        <v>2937.16</v>
      </c>
      <c r="L3" s="75">
        <f>F3-K3</f>
        <v>165215.25</v>
      </c>
      <c r="M3" s="172">
        <f>168152</f>
        <v>168152</v>
      </c>
      <c r="N3" s="172" t="s">
        <v>393</v>
      </c>
      <c r="O3" s="10" t="s">
        <v>44</v>
      </c>
      <c r="P3" s="68" t="s">
        <v>122</v>
      </c>
    </row>
    <row r="4" spans="1:17" s="90" customFormat="1" ht="15" x14ac:dyDescent="0.25">
      <c r="A4" s="170" t="s">
        <v>252</v>
      </c>
      <c r="B4" s="91"/>
      <c r="C4" s="91" t="s">
        <v>272</v>
      </c>
      <c r="D4" s="91" t="s">
        <v>95</v>
      </c>
      <c r="E4" s="91" t="s">
        <v>273</v>
      </c>
      <c r="F4" s="75">
        <f t="shared" ref="F4:F21" si="0">SUM(G4:H4)</f>
        <v>58147.68</v>
      </c>
      <c r="G4" s="171">
        <v>50784</v>
      </c>
      <c r="H4" s="75">
        <f t="shared" ref="H4:H5" si="1">G4*14.5%</f>
        <v>7363.6799999999994</v>
      </c>
      <c r="I4" s="94">
        <v>42491</v>
      </c>
      <c r="J4" s="76">
        <f t="shared" ref="J4:J7" si="2">I4+70</f>
        <v>42561</v>
      </c>
      <c r="K4" s="75">
        <f t="shared" ref="K4:K21" si="3">G4*2%</f>
        <v>1015.6800000000001</v>
      </c>
      <c r="L4" s="75">
        <f t="shared" ref="L4:L21" si="4">F4-K4</f>
        <v>57132</v>
      </c>
      <c r="M4" s="172">
        <f>58148</f>
        <v>58148</v>
      </c>
      <c r="N4" s="172" t="s">
        <v>393</v>
      </c>
      <c r="O4" s="10" t="s">
        <v>44</v>
      </c>
      <c r="P4" s="68" t="s">
        <v>122</v>
      </c>
    </row>
    <row r="5" spans="1:17" s="90" customFormat="1" ht="15" x14ac:dyDescent="0.25">
      <c r="A5" s="170" t="s">
        <v>74</v>
      </c>
      <c r="B5" s="91"/>
      <c r="C5" s="91" t="s">
        <v>272</v>
      </c>
      <c r="D5" s="91" t="s">
        <v>95</v>
      </c>
      <c r="E5" s="91" t="s">
        <v>274</v>
      </c>
      <c r="F5" s="75">
        <f t="shared" si="0"/>
        <v>108638.745</v>
      </c>
      <c r="G5" s="171">
        <v>94881</v>
      </c>
      <c r="H5" s="75">
        <f t="shared" si="1"/>
        <v>13757.744999999999</v>
      </c>
      <c r="I5" s="94">
        <v>42521</v>
      </c>
      <c r="J5" s="76">
        <f t="shared" si="2"/>
        <v>42591</v>
      </c>
      <c r="K5" s="75">
        <f t="shared" si="3"/>
        <v>1897.6200000000001</v>
      </c>
      <c r="L5" s="75">
        <f t="shared" si="4"/>
        <v>106741.125</v>
      </c>
      <c r="M5" s="172">
        <v>108638</v>
      </c>
      <c r="N5" s="172" t="s">
        <v>393</v>
      </c>
      <c r="O5" s="10" t="s">
        <v>44</v>
      </c>
      <c r="P5" s="68" t="s">
        <v>122</v>
      </c>
    </row>
    <row r="6" spans="1:17" s="90" customFormat="1" ht="15" x14ac:dyDescent="0.25">
      <c r="A6" s="170" t="s">
        <v>86</v>
      </c>
      <c r="B6" s="91"/>
      <c r="C6" s="91" t="s">
        <v>275</v>
      </c>
      <c r="D6" s="91" t="s">
        <v>95</v>
      </c>
      <c r="E6" s="91" t="s">
        <v>276</v>
      </c>
      <c r="F6" s="75">
        <f t="shared" si="0"/>
        <v>65780</v>
      </c>
      <c r="G6" s="171">
        <f>26000*2.2</f>
        <v>57200.000000000007</v>
      </c>
      <c r="H6" s="75">
        <f>G6*15%</f>
        <v>8580</v>
      </c>
      <c r="I6" s="94">
        <v>42551</v>
      </c>
      <c r="J6" s="76">
        <f t="shared" si="2"/>
        <v>42621</v>
      </c>
      <c r="K6" s="75">
        <f t="shared" si="3"/>
        <v>1144.0000000000002</v>
      </c>
      <c r="L6" s="75">
        <f t="shared" si="4"/>
        <v>64636</v>
      </c>
      <c r="M6" s="172">
        <v>65780</v>
      </c>
      <c r="N6" s="172" t="s">
        <v>393</v>
      </c>
      <c r="O6" s="10" t="s">
        <v>44</v>
      </c>
      <c r="P6" s="68" t="s">
        <v>122</v>
      </c>
    </row>
    <row r="7" spans="1:17" s="90" customFormat="1" x14ac:dyDescent="0.2">
      <c r="A7" s="170" t="s">
        <v>277</v>
      </c>
      <c r="B7" s="91"/>
      <c r="C7" s="173" t="s">
        <v>278</v>
      </c>
      <c r="D7" s="91" t="s">
        <v>95</v>
      </c>
      <c r="E7" s="173" t="s">
        <v>279</v>
      </c>
      <c r="F7" s="75">
        <f t="shared" si="0"/>
        <v>138000</v>
      </c>
      <c r="G7" s="172">
        <v>120000</v>
      </c>
      <c r="H7" s="75">
        <f t="shared" ref="H7:H21" si="5">G7*15%</f>
        <v>18000</v>
      </c>
      <c r="I7" s="94">
        <v>42563</v>
      </c>
      <c r="J7" s="76">
        <f t="shared" si="2"/>
        <v>42633</v>
      </c>
      <c r="K7" s="75">
        <f t="shared" si="3"/>
        <v>2400</v>
      </c>
      <c r="L7" s="75">
        <f t="shared" si="4"/>
        <v>135600</v>
      </c>
      <c r="M7" s="172">
        <v>138000</v>
      </c>
      <c r="N7" s="172" t="s">
        <v>393</v>
      </c>
      <c r="O7" s="10" t="s">
        <v>44</v>
      </c>
      <c r="P7" s="68" t="s">
        <v>122</v>
      </c>
    </row>
    <row r="8" spans="1:17" s="90" customFormat="1" x14ac:dyDescent="0.2">
      <c r="A8" s="170" t="s">
        <v>205</v>
      </c>
      <c r="B8" s="91"/>
      <c r="C8" s="173" t="s">
        <v>280</v>
      </c>
      <c r="D8" s="91" t="s">
        <v>95</v>
      </c>
      <c r="E8" s="173" t="s">
        <v>281</v>
      </c>
      <c r="F8" s="75">
        <f t="shared" si="0"/>
        <v>13524.69</v>
      </c>
      <c r="G8" s="218">
        <f>69180*0.17</f>
        <v>11760.6</v>
      </c>
      <c r="H8" s="75">
        <f t="shared" si="5"/>
        <v>1764.09</v>
      </c>
      <c r="I8" s="94">
        <v>42583</v>
      </c>
      <c r="J8" s="76">
        <f>I8+60</f>
        <v>42643</v>
      </c>
      <c r="K8" s="75">
        <f t="shared" si="3"/>
        <v>235.21200000000002</v>
      </c>
      <c r="L8" s="75">
        <f t="shared" si="4"/>
        <v>13289.478000000001</v>
      </c>
      <c r="M8" s="172">
        <v>13289</v>
      </c>
      <c r="N8" s="172" t="s">
        <v>743</v>
      </c>
      <c r="O8" s="10" t="s">
        <v>44</v>
      </c>
      <c r="P8" s="68" t="s">
        <v>122</v>
      </c>
      <c r="Q8" s="90">
        <v>92031</v>
      </c>
    </row>
    <row r="9" spans="1:17" x14ac:dyDescent="0.2">
      <c r="A9" s="216" t="s">
        <v>550</v>
      </c>
      <c r="B9" s="166"/>
      <c r="C9" s="173" t="s">
        <v>280</v>
      </c>
      <c r="D9" s="91" t="s">
        <v>95</v>
      </c>
      <c r="E9" s="219" t="s">
        <v>552</v>
      </c>
      <c r="F9" s="75">
        <f t="shared" si="0"/>
        <v>41202.775000000001</v>
      </c>
      <c r="G9" s="220">
        <f>143314*0.25</f>
        <v>35828.5</v>
      </c>
      <c r="H9" s="75">
        <f t="shared" si="5"/>
        <v>5374.2749999999996</v>
      </c>
      <c r="I9" s="94">
        <v>42705</v>
      </c>
      <c r="J9" s="76">
        <f>I9+60</f>
        <v>42765</v>
      </c>
      <c r="K9" s="75">
        <f t="shared" si="3"/>
        <v>716.57</v>
      </c>
      <c r="L9" s="75">
        <f t="shared" si="4"/>
        <v>40486.205000000002</v>
      </c>
      <c r="M9" s="74">
        <v>40486</v>
      </c>
      <c r="N9" s="172" t="s">
        <v>743</v>
      </c>
      <c r="O9" s="10" t="s">
        <v>44</v>
      </c>
      <c r="P9" s="68" t="s">
        <v>122</v>
      </c>
      <c r="Q9" s="39">
        <v>2850</v>
      </c>
    </row>
    <row r="10" spans="1:17" x14ac:dyDescent="0.2">
      <c r="A10" s="216" t="s">
        <v>669</v>
      </c>
      <c r="B10" s="166"/>
      <c r="C10" s="173" t="s">
        <v>280</v>
      </c>
      <c r="D10" s="91" t="s">
        <v>95</v>
      </c>
      <c r="E10" s="166" t="s">
        <v>694</v>
      </c>
      <c r="F10" s="75">
        <f t="shared" si="0"/>
        <v>38323.75</v>
      </c>
      <c r="G10" s="74">
        <v>33325</v>
      </c>
      <c r="H10" s="75">
        <f t="shared" si="5"/>
        <v>4998.75</v>
      </c>
      <c r="I10" s="94">
        <v>42736</v>
      </c>
      <c r="J10" s="76"/>
      <c r="K10" s="75">
        <f t="shared" si="3"/>
        <v>666.5</v>
      </c>
      <c r="L10" s="75">
        <f t="shared" si="4"/>
        <v>37657.25</v>
      </c>
      <c r="M10" s="74">
        <v>38324</v>
      </c>
      <c r="N10" s="74" t="s">
        <v>872</v>
      </c>
      <c r="O10" s="10" t="s">
        <v>44</v>
      </c>
      <c r="P10" s="68" t="s">
        <v>122</v>
      </c>
      <c r="Q10" s="39">
        <f>SUM(Q8:Q9)</f>
        <v>94881</v>
      </c>
    </row>
    <row r="11" spans="1:17" x14ac:dyDescent="0.2">
      <c r="A11" s="40"/>
      <c r="B11" s="57"/>
      <c r="C11" s="57"/>
      <c r="D11" s="57"/>
      <c r="E11" s="57"/>
      <c r="F11" s="44">
        <f t="shared" si="0"/>
        <v>0</v>
      </c>
      <c r="G11" s="41"/>
      <c r="H11" s="44">
        <f t="shared" si="5"/>
        <v>0</v>
      </c>
      <c r="I11" s="63"/>
      <c r="J11" s="78"/>
      <c r="K11" s="44">
        <f t="shared" si="3"/>
        <v>0</v>
      </c>
      <c r="L11" s="44">
        <f t="shared" si="4"/>
        <v>0</v>
      </c>
      <c r="M11" s="41"/>
      <c r="N11" s="41"/>
      <c r="O11" s="95"/>
      <c r="P11" s="117"/>
    </row>
    <row r="12" spans="1:17" x14ac:dyDescent="0.2">
      <c r="A12" s="40"/>
      <c r="B12" s="57"/>
      <c r="C12" s="118"/>
      <c r="D12" s="57"/>
      <c r="E12" s="57"/>
      <c r="F12" s="44">
        <f t="shared" si="0"/>
        <v>0</v>
      </c>
      <c r="G12" s="41"/>
      <c r="H12" s="44">
        <f t="shared" si="5"/>
        <v>0</v>
      </c>
      <c r="I12" s="63"/>
      <c r="J12" s="78"/>
      <c r="K12" s="44">
        <f t="shared" si="3"/>
        <v>0</v>
      </c>
      <c r="L12" s="44">
        <f t="shared" si="4"/>
        <v>0</v>
      </c>
      <c r="M12" s="41"/>
      <c r="N12" s="41"/>
      <c r="O12" s="95"/>
      <c r="P12" s="117"/>
    </row>
    <row r="13" spans="1:17" x14ac:dyDescent="0.2">
      <c r="A13" s="40"/>
      <c r="B13" s="57"/>
      <c r="C13" s="57"/>
      <c r="D13" s="57"/>
      <c r="E13" s="57"/>
      <c r="F13" s="44">
        <f t="shared" si="0"/>
        <v>0</v>
      </c>
      <c r="G13" s="41"/>
      <c r="H13" s="44">
        <f t="shared" si="5"/>
        <v>0</v>
      </c>
      <c r="I13" s="63"/>
      <c r="J13" s="78"/>
      <c r="K13" s="44">
        <f t="shared" si="3"/>
        <v>0</v>
      </c>
      <c r="L13" s="44">
        <f t="shared" si="4"/>
        <v>0</v>
      </c>
      <c r="M13" s="41"/>
      <c r="N13" s="41"/>
      <c r="O13" s="95"/>
      <c r="P13" s="117"/>
    </row>
    <row r="14" spans="1:17" x14ac:dyDescent="0.2">
      <c r="A14" s="40"/>
      <c r="B14" s="57"/>
      <c r="C14" s="57"/>
      <c r="D14" s="57"/>
      <c r="E14" s="57"/>
      <c r="F14" s="44">
        <f t="shared" si="0"/>
        <v>0</v>
      </c>
      <c r="G14" s="41"/>
      <c r="H14" s="44">
        <f t="shared" si="5"/>
        <v>0</v>
      </c>
      <c r="I14" s="63"/>
      <c r="J14" s="78"/>
      <c r="K14" s="44">
        <f t="shared" si="3"/>
        <v>0</v>
      </c>
      <c r="L14" s="44">
        <f t="shared" si="4"/>
        <v>0</v>
      </c>
      <c r="M14" s="41"/>
      <c r="N14" s="41"/>
      <c r="O14" s="95"/>
      <c r="P14" s="117"/>
    </row>
    <row r="15" spans="1:17" x14ac:dyDescent="0.2">
      <c r="A15" s="40"/>
      <c r="B15" s="57"/>
      <c r="C15" s="118"/>
      <c r="D15" s="57"/>
      <c r="E15" s="57"/>
      <c r="F15" s="44">
        <f t="shared" si="0"/>
        <v>0</v>
      </c>
      <c r="G15" s="41"/>
      <c r="H15" s="44">
        <f t="shared" si="5"/>
        <v>0</v>
      </c>
      <c r="I15" s="63"/>
      <c r="J15" s="78"/>
      <c r="K15" s="44">
        <f t="shared" si="3"/>
        <v>0</v>
      </c>
      <c r="L15" s="44">
        <f t="shared" si="4"/>
        <v>0</v>
      </c>
      <c r="M15" s="41"/>
      <c r="N15" s="41"/>
      <c r="O15" s="95"/>
      <c r="P15" s="117"/>
    </row>
    <row r="16" spans="1:17" x14ac:dyDescent="0.2">
      <c r="A16" s="40"/>
      <c r="B16" s="57"/>
      <c r="C16" s="57"/>
      <c r="D16" s="57"/>
      <c r="E16" s="57"/>
      <c r="F16" s="44">
        <f t="shared" si="0"/>
        <v>0</v>
      </c>
      <c r="G16" s="41"/>
      <c r="H16" s="44">
        <f t="shared" si="5"/>
        <v>0</v>
      </c>
      <c r="I16" s="63"/>
      <c r="J16" s="78"/>
      <c r="K16" s="44">
        <f t="shared" si="3"/>
        <v>0</v>
      </c>
      <c r="L16" s="44">
        <f t="shared" si="4"/>
        <v>0</v>
      </c>
      <c r="M16" s="41"/>
      <c r="N16" s="41"/>
      <c r="O16" s="57"/>
      <c r="P16" s="59"/>
    </row>
    <row r="17" spans="1:16" x14ac:dyDescent="0.2">
      <c r="A17" s="40"/>
      <c r="B17" s="57"/>
      <c r="C17" s="57"/>
      <c r="D17" s="57"/>
      <c r="E17" s="57"/>
      <c r="F17" s="44">
        <f t="shared" si="0"/>
        <v>0</v>
      </c>
      <c r="G17" s="41"/>
      <c r="H17" s="44">
        <f t="shared" si="5"/>
        <v>0</v>
      </c>
      <c r="I17" s="63"/>
      <c r="J17" s="78"/>
      <c r="K17" s="44">
        <f t="shared" si="3"/>
        <v>0</v>
      </c>
      <c r="L17" s="44">
        <f t="shared" si="4"/>
        <v>0</v>
      </c>
      <c r="M17" s="41"/>
      <c r="N17" s="41"/>
      <c r="O17" s="57"/>
      <c r="P17" s="59"/>
    </row>
    <row r="18" spans="1:16" x14ac:dyDescent="0.2">
      <c r="A18" s="40"/>
      <c r="B18" s="57"/>
      <c r="C18" s="57"/>
      <c r="D18" s="57"/>
      <c r="E18" s="57"/>
      <c r="F18" s="44">
        <f t="shared" si="0"/>
        <v>0</v>
      </c>
      <c r="G18" s="41"/>
      <c r="H18" s="44">
        <f t="shared" si="5"/>
        <v>0</v>
      </c>
      <c r="I18" s="63"/>
      <c r="J18" s="78"/>
      <c r="K18" s="44">
        <f t="shared" si="3"/>
        <v>0</v>
      </c>
      <c r="L18" s="44">
        <f t="shared" si="4"/>
        <v>0</v>
      </c>
      <c r="M18" s="41"/>
      <c r="N18" s="41"/>
      <c r="O18" s="57"/>
      <c r="P18" s="59"/>
    </row>
    <row r="19" spans="1:16" x14ac:dyDescent="0.2">
      <c r="A19" s="40"/>
      <c r="B19" s="57"/>
      <c r="C19" s="57"/>
      <c r="D19" s="57"/>
      <c r="E19" s="57"/>
      <c r="F19" s="44">
        <f t="shared" si="0"/>
        <v>0</v>
      </c>
      <c r="G19" s="41"/>
      <c r="H19" s="44">
        <f t="shared" si="5"/>
        <v>0</v>
      </c>
      <c r="I19" s="63"/>
      <c r="J19" s="78"/>
      <c r="K19" s="44">
        <f t="shared" si="3"/>
        <v>0</v>
      </c>
      <c r="L19" s="44">
        <f t="shared" si="4"/>
        <v>0</v>
      </c>
      <c r="M19" s="41"/>
      <c r="N19" s="41"/>
      <c r="O19" s="57"/>
      <c r="P19" s="119"/>
    </row>
    <row r="20" spans="1:16" x14ac:dyDescent="0.2">
      <c r="A20" s="40"/>
      <c r="B20" s="57"/>
      <c r="C20" s="57"/>
      <c r="D20" s="57"/>
      <c r="E20" s="57"/>
      <c r="F20" s="44">
        <f t="shared" si="0"/>
        <v>0</v>
      </c>
      <c r="G20" s="41"/>
      <c r="H20" s="44">
        <f t="shared" si="5"/>
        <v>0</v>
      </c>
      <c r="I20" s="63"/>
      <c r="J20" s="78"/>
      <c r="K20" s="44">
        <f t="shared" si="3"/>
        <v>0</v>
      </c>
      <c r="L20" s="44">
        <f t="shared" si="4"/>
        <v>0</v>
      </c>
      <c r="M20" s="41"/>
      <c r="N20" s="41"/>
      <c r="O20" s="57"/>
      <c r="P20" s="119"/>
    </row>
    <row r="21" spans="1:16" x14ac:dyDescent="0.2">
      <c r="A21" s="120"/>
      <c r="B21" s="61"/>
      <c r="C21" s="61"/>
      <c r="D21" s="61"/>
      <c r="E21" s="61"/>
      <c r="F21" s="44">
        <f t="shared" si="0"/>
        <v>0</v>
      </c>
      <c r="G21" s="62"/>
      <c r="H21" s="44">
        <f t="shared" si="5"/>
        <v>0</v>
      </c>
      <c r="I21" s="63"/>
      <c r="J21" s="78"/>
      <c r="K21" s="44">
        <f t="shared" si="3"/>
        <v>0</v>
      </c>
      <c r="L21" s="44">
        <f t="shared" si="4"/>
        <v>0</v>
      </c>
      <c r="M21" s="62"/>
      <c r="N21" s="62"/>
      <c r="O21" s="61"/>
      <c r="P21" s="58"/>
    </row>
    <row r="22" spans="1:16" x14ac:dyDescent="0.2">
      <c r="B22" s="51"/>
      <c r="C22" s="51"/>
      <c r="D22" s="51"/>
      <c r="E22" s="51"/>
      <c r="F22" s="60"/>
      <c r="G22" s="60"/>
      <c r="H22" s="60"/>
      <c r="I22" s="51"/>
      <c r="J22" s="51"/>
      <c r="K22" s="60"/>
      <c r="L22" s="60"/>
      <c r="M22" s="60"/>
      <c r="N22" s="60"/>
      <c r="O22" s="51"/>
      <c r="P22" s="51"/>
    </row>
  </sheetData>
  <mergeCells count="1">
    <mergeCell ref="B2:C2"/>
  </mergeCells>
  <hyperlinks>
    <hyperlink ref="B2" location="HOME!A1" display="HOME" xr:uid="{00000000-0004-0000-0900-000000000000}"/>
    <hyperlink ref="E2" location="MONTHWISE!A1" display="Monthwise" xr:uid="{00000000-0004-0000-0900-000001000000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P30"/>
  <sheetViews>
    <sheetView workbookViewId="0">
      <selection activeCell="E22" sqref="E22"/>
    </sheetView>
  </sheetViews>
  <sheetFormatPr defaultColWidth="9.140625" defaultRowHeight="12.75" x14ac:dyDescent="0.2"/>
  <cols>
    <col min="1" max="1" width="10.85546875" style="39" bestFit="1" customWidth="1"/>
    <col min="2" max="2" width="5.5703125" style="39" bestFit="1" customWidth="1"/>
    <col min="3" max="3" width="13.140625" style="39" bestFit="1" customWidth="1"/>
    <col min="4" max="4" width="5.5703125" style="39" bestFit="1" customWidth="1"/>
    <col min="5" max="5" width="25.85546875" style="42" bestFit="1" customWidth="1"/>
    <col min="6" max="6" width="10.42578125" style="42" bestFit="1" customWidth="1"/>
    <col min="7" max="7" width="9.28515625" style="42" bestFit="1" customWidth="1"/>
    <col min="8" max="8" width="8.7109375" style="42" bestFit="1" customWidth="1"/>
    <col min="9" max="9" width="10.7109375" style="39" bestFit="1" customWidth="1"/>
    <col min="10" max="10" width="7.42578125" style="42" bestFit="1" customWidth="1"/>
    <col min="11" max="11" width="6.5703125" style="42" bestFit="1" customWidth="1"/>
    <col min="12" max="12" width="12.140625" style="42" bestFit="1" customWidth="1"/>
    <col min="13" max="13" width="13.5703125" style="39" bestFit="1" customWidth="1"/>
    <col min="14" max="14" width="14.85546875" style="39" bestFit="1" customWidth="1"/>
    <col min="15" max="15" width="5.42578125" style="39" bestFit="1" customWidth="1"/>
    <col min="16" max="16" width="9.140625" style="39" bestFit="1" customWidth="1"/>
    <col min="17" max="16384" width="9.140625" style="39"/>
  </cols>
  <sheetData>
    <row r="1" spans="1:16" x14ac:dyDescent="0.2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">
      <c r="A2" s="65" t="s">
        <v>282</v>
      </c>
      <c r="B2" s="65"/>
      <c r="C2" s="65" t="s">
        <v>283</v>
      </c>
      <c r="D2" s="65"/>
      <c r="E2" s="67" t="s">
        <v>284</v>
      </c>
      <c r="F2" s="75">
        <f t="shared" ref="F2:F20" si="0">SUM(G2:H2)</f>
        <v>20700</v>
      </c>
      <c r="G2" s="67">
        <v>18000</v>
      </c>
      <c r="H2" s="75">
        <f>G2*15%</f>
        <v>2700</v>
      </c>
      <c r="I2" s="65"/>
      <c r="J2" s="67"/>
      <c r="K2" s="75">
        <f t="shared" ref="K2:K20" si="1">G2*2%</f>
        <v>360</v>
      </c>
      <c r="L2" s="75">
        <f t="shared" ref="L2:L20" si="2">F2-K2</f>
        <v>20340</v>
      </c>
      <c r="M2" s="65">
        <v>20340</v>
      </c>
      <c r="N2" s="65" t="s">
        <v>370</v>
      </c>
      <c r="O2" s="10" t="s">
        <v>44</v>
      </c>
      <c r="P2" s="175" t="s">
        <v>437</v>
      </c>
    </row>
    <row r="3" spans="1:16" x14ac:dyDescent="0.2">
      <c r="A3" s="216" t="s">
        <v>612</v>
      </c>
      <c r="B3" s="216"/>
      <c r="C3" s="65" t="s">
        <v>611</v>
      </c>
      <c r="D3" s="216"/>
      <c r="E3" s="67" t="s">
        <v>610</v>
      </c>
      <c r="F3" s="75">
        <f t="shared" si="0"/>
        <v>15304.2</v>
      </c>
      <c r="G3" s="67">
        <v>13308</v>
      </c>
      <c r="H3" s="75">
        <f t="shared" ref="H3:H20" si="3">G3*15%</f>
        <v>1996.1999999999998</v>
      </c>
      <c r="I3" s="124">
        <v>43099</v>
      </c>
      <c r="J3" s="76">
        <f>I3+30</f>
        <v>43129</v>
      </c>
      <c r="K3" s="75">
        <f t="shared" si="1"/>
        <v>266.16000000000003</v>
      </c>
      <c r="L3" s="75">
        <f t="shared" si="2"/>
        <v>15038.04</v>
      </c>
      <c r="M3" s="65">
        <v>15038</v>
      </c>
      <c r="N3" s="65" t="s">
        <v>836</v>
      </c>
      <c r="O3" s="10" t="s">
        <v>44</v>
      </c>
      <c r="P3" s="175" t="s">
        <v>437</v>
      </c>
    </row>
    <row r="4" spans="1:16" x14ac:dyDescent="0.2">
      <c r="A4" s="20"/>
      <c r="B4" s="20"/>
      <c r="C4" s="20"/>
      <c r="D4" s="20"/>
      <c r="E4" s="22"/>
      <c r="F4" s="44">
        <f t="shared" si="0"/>
        <v>0</v>
      </c>
      <c r="G4" s="22"/>
      <c r="H4" s="44">
        <f t="shared" si="3"/>
        <v>0</v>
      </c>
      <c r="I4" s="20"/>
      <c r="J4" s="22"/>
      <c r="K4" s="44">
        <f t="shared" si="1"/>
        <v>0</v>
      </c>
      <c r="L4" s="44">
        <f t="shared" si="2"/>
        <v>0</v>
      </c>
      <c r="M4" s="20"/>
      <c r="N4" s="20"/>
      <c r="O4" s="95"/>
      <c r="P4" s="117"/>
    </row>
    <row r="5" spans="1:16" x14ac:dyDescent="0.2">
      <c r="A5" s="20"/>
      <c r="B5" s="20"/>
      <c r="C5" s="20"/>
      <c r="D5" s="20"/>
      <c r="E5" s="22"/>
      <c r="F5" s="44">
        <f t="shared" si="0"/>
        <v>0</v>
      </c>
      <c r="G5" s="22"/>
      <c r="H5" s="44">
        <f t="shared" si="3"/>
        <v>0</v>
      </c>
      <c r="I5" s="20"/>
      <c r="J5" s="22"/>
      <c r="K5" s="44">
        <f t="shared" si="1"/>
        <v>0</v>
      </c>
      <c r="L5" s="44">
        <f t="shared" si="2"/>
        <v>0</v>
      </c>
      <c r="M5" s="20"/>
      <c r="N5" s="20"/>
      <c r="O5" s="20"/>
      <c r="P5" s="121"/>
    </row>
    <row r="6" spans="1:16" x14ac:dyDescent="0.2">
      <c r="A6" s="20"/>
      <c r="B6" s="20"/>
      <c r="C6" s="20"/>
      <c r="D6" s="20"/>
      <c r="E6" s="22"/>
      <c r="F6" s="44">
        <f t="shared" si="0"/>
        <v>0</v>
      </c>
      <c r="G6" s="22"/>
      <c r="H6" s="44">
        <f t="shared" si="3"/>
        <v>0</v>
      </c>
      <c r="I6" s="20"/>
      <c r="J6" s="22"/>
      <c r="K6" s="44">
        <f t="shared" si="1"/>
        <v>0</v>
      </c>
      <c r="L6" s="44">
        <f t="shared" si="2"/>
        <v>0</v>
      </c>
      <c r="M6" s="20"/>
      <c r="N6" s="20"/>
      <c r="O6" s="20"/>
      <c r="P6" s="121"/>
    </row>
    <row r="7" spans="1:16" x14ac:dyDescent="0.2">
      <c r="A7" s="20"/>
      <c r="B7" s="20"/>
      <c r="C7" s="20"/>
      <c r="D7" s="20"/>
      <c r="E7" s="22"/>
      <c r="F7" s="44">
        <f t="shared" si="0"/>
        <v>0</v>
      </c>
      <c r="G7" s="22"/>
      <c r="H7" s="44">
        <f t="shared" si="3"/>
        <v>0</v>
      </c>
      <c r="I7" s="20"/>
      <c r="J7" s="22"/>
      <c r="K7" s="44">
        <f t="shared" si="1"/>
        <v>0</v>
      </c>
      <c r="L7" s="44">
        <f t="shared" si="2"/>
        <v>0</v>
      </c>
      <c r="M7" s="20"/>
      <c r="N7" s="20"/>
      <c r="O7" s="20"/>
      <c r="P7" s="121"/>
    </row>
    <row r="8" spans="1:16" x14ac:dyDescent="0.2">
      <c r="A8" s="20"/>
      <c r="B8" s="20"/>
      <c r="C8" s="20"/>
      <c r="D8" s="20"/>
      <c r="E8" s="22"/>
      <c r="F8" s="44">
        <f t="shared" si="0"/>
        <v>0</v>
      </c>
      <c r="G8" s="22"/>
      <c r="H8" s="44">
        <f t="shared" si="3"/>
        <v>0</v>
      </c>
      <c r="I8" s="20"/>
      <c r="J8" s="22"/>
      <c r="K8" s="44">
        <f t="shared" si="1"/>
        <v>0</v>
      </c>
      <c r="L8" s="44">
        <f t="shared" si="2"/>
        <v>0</v>
      </c>
      <c r="M8" s="20"/>
      <c r="N8" s="20"/>
      <c r="O8" s="20"/>
      <c r="P8" s="121"/>
    </row>
    <row r="9" spans="1:16" x14ac:dyDescent="0.2">
      <c r="A9" s="20"/>
      <c r="B9" s="20"/>
      <c r="C9" s="20"/>
      <c r="D9" s="20"/>
      <c r="E9" s="22"/>
      <c r="F9" s="44">
        <f t="shared" si="0"/>
        <v>0</v>
      </c>
      <c r="G9" s="22"/>
      <c r="H9" s="44">
        <f t="shared" si="3"/>
        <v>0</v>
      </c>
      <c r="I9" s="20"/>
      <c r="J9" s="22"/>
      <c r="K9" s="44">
        <f t="shared" si="1"/>
        <v>0</v>
      </c>
      <c r="L9" s="44">
        <f t="shared" si="2"/>
        <v>0</v>
      </c>
      <c r="M9" s="20"/>
      <c r="N9" s="20"/>
      <c r="O9" s="20"/>
      <c r="P9" s="121"/>
    </row>
    <row r="10" spans="1:16" x14ac:dyDescent="0.2">
      <c r="A10" s="20"/>
      <c r="B10" s="20"/>
      <c r="C10" s="20"/>
      <c r="D10" s="20"/>
      <c r="E10" s="22"/>
      <c r="F10" s="44">
        <f t="shared" si="0"/>
        <v>0</v>
      </c>
      <c r="G10" s="22"/>
      <c r="H10" s="44">
        <f t="shared" si="3"/>
        <v>0</v>
      </c>
      <c r="I10" s="20"/>
      <c r="J10" s="22"/>
      <c r="K10" s="44">
        <f t="shared" si="1"/>
        <v>0</v>
      </c>
      <c r="L10" s="44">
        <f t="shared" si="2"/>
        <v>0</v>
      </c>
      <c r="M10" s="20"/>
      <c r="N10" s="20"/>
      <c r="O10" s="20"/>
      <c r="P10" s="121"/>
    </row>
    <row r="11" spans="1:16" x14ac:dyDescent="0.2">
      <c r="A11" s="20"/>
      <c r="B11" s="20"/>
      <c r="C11" s="20"/>
      <c r="D11" s="20"/>
      <c r="E11" s="22"/>
      <c r="F11" s="44">
        <f t="shared" si="0"/>
        <v>0</v>
      </c>
      <c r="G11" s="22"/>
      <c r="H11" s="44">
        <f t="shared" si="3"/>
        <v>0</v>
      </c>
      <c r="I11" s="20"/>
      <c r="J11" s="22"/>
      <c r="K11" s="44">
        <f t="shared" si="1"/>
        <v>0</v>
      </c>
      <c r="L11" s="44">
        <f t="shared" si="2"/>
        <v>0</v>
      </c>
      <c r="M11" s="20"/>
      <c r="N11" s="20"/>
      <c r="O11" s="20"/>
      <c r="P11" s="121"/>
    </row>
    <row r="12" spans="1:16" x14ac:dyDescent="0.2">
      <c r="A12" s="20"/>
      <c r="B12" s="20"/>
      <c r="C12" s="20"/>
      <c r="D12" s="20"/>
      <c r="E12" s="22"/>
      <c r="F12" s="44">
        <f t="shared" si="0"/>
        <v>0</v>
      </c>
      <c r="G12" s="22"/>
      <c r="H12" s="44">
        <f t="shared" si="3"/>
        <v>0</v>
      </c>
      <c r="I12" s="20"/>
      <c r="J12" s="22"/>
      <c r="K12" s="44">
        <f t="shared" si="1"/>
        <v>0</v>
      </c>
      <c r="L12" s="44">
        <f t="shared" si="2"/>
        <v>0</v>
      </c>
      <c r="M12" s="20"/>
      <c r="N12" s="20"/>
      <c r="O12" s="20"/>
      <c r="P12" s="121"/>
    </row>
    <row r="13" spans="1:16" x14ac:dyDescent="0.2">
      <c r="A13" s="20"/>
      <c r="B13" s="20"/>
      <c r="C13" s="20"/>
      <c r="D13" s="20"/>
      <c r="E13" s="22"/>
      <c r="F13" s="44">
        <f t="shared" si="0"/>
        <v>0</v>
      </c>
      <c r="G13" s="22"/>
      <c r="H13" s="44">
        <f t="shared" si="3"/>
        <v>0</v>
      </c>
      <c r="I13" s="20"/>
      <c r="J13" s="22"/>
      <c r="K13" s="44">
        <f t="shared" si="1"/>
        <v>0</v>
      </c>
      <c r="L13" s="44">
        <f t="shared" si="2"/>
        <v>0</v>
      </c>
      <c r="M13" s="20"/>
      <c r="N13" s="20"/>
      <c r="O13" s="20"/>
      <c r="P13" s="121"/>
    </row>
    <row r="14" spans="1:16" x14ac:dyDescent="0.2">
      <c r="A14" s="20"/>
      <c r="B14" s="20"/>
      <c r="C14" s="20"/>
      <c r="D14" s="20"/>
      <c r="E14" s="22"/>
      <c r="F14" s="44">
        <f t="shared" si="0"/>
        <v>0</v>
      </c>
      <c r="G14" s="22"/>
      <c r="H14" s="44">
        <f t="shared" si="3"/>
        <v>0</v>
      </c>
      <c r="I14" s="20"/>
      <c r="J14" s="22"/>
      <c r="K14" s="44">
        <f t="shared" si="1"/>
        <v>0</v>
      </c>
      <c r="L14" s="44">
        <f t="shared" si="2"/>
        <v>0</v>
      </c>
      <c r="M14" s="20"/>
      <c r="N14" s="20"/>
      <c r="O14" s="20"/>
      <c r="P14" s="121"/>
    </row>
    <row r="15" spans="1:16" x14ac:dyDescent="0.2">
      <c r="A15" s="20"/>
      <c r="B15" s="20"/>
      <c r="C15" s="20"/>
      <c r="D15" s="20"/>
      <c r="E15" s="22"/>
      <c r="F15" s="44">
        <f t="shared" si="0"/>
        <v>0</v>
      </c>
      <c r="G15" s="22"/>
      <c r="H15" s="44">
        <f t="shared" si="3"/>
        <v>0</v>
      </c>
      <c r="I15" s="20"/>
      <c r="J15" s="22"/>
      <c r="K15" s="44">
        <f t="shared" si="1"/>
        <v>0</v>
      </c>
      <c r="L15" s="44">
        <f t="shared" si="2"/>
        <v>0</v>
      </c>
      <c r="M15" s="20"/>
      <c r="N15" s="20"/>
      <c r="O15" s="20"/>
      <c r="P15" s="121"/>
    </row>
    <row r="16" spans="1:16" x14ac:dyDescent="0.2">
      <c r="A16" s="28"/>
      <c r="B16" s="28"/>
      <c r="C16" s="28"/>
      <c r="D16" s="28"/>
      <c r="E16" s="30"/>
      <c r="F16" s="44">
        <f t="shared" si="0"/>
        <v>0</v>
      </c>
      <c r="G16" s="30"/>
      <c r="H16" s="44">
        <f t="shared" si="3"/>
        <v>0</v>
      </c>
      <c r="I16" s="28"/>
      <c r="J16" s="30"/>
      <c r="K16" s="44">
        <f t="shared" si="1"/>
        <v>0</v>
      </c>
      <c r="L16" s="44">
        <f t="shared" si="2"/>
        <v>0</v>
      </c>
      <c r="M16" s="28"/>
      <c r="N16" s="28"/>
      <c r="O16" s="28"/>
      <c r="P16" s="43"/>
    </row>
    <row r="17" spans="1:16" x14ac:dyDescent="0.2">
      <c r="A17" s="17"/>
      <c r="B17" s="17"/>
      <c r="C17" s="17"/>
      <c r="D17" s="17"/>
      <c r="E17" s="44"/>
      <c r="F17" s="44">
        <f t="shared" si="0"/>
        <v>0</v>
      </c>
      <c r="G17" s="44"/>
      <c r="H17" s="44">
        <f t="shared" si="3"/>
        <v>0</v>
      </c>
      <c r="I17" s="17"/>
      <c r="J17" s="44"/>
      <c r="K17" s="44">
        <f t="shared" si="1"/>
        <v>0</v>
      </c>
      <c r="L17" s="44">
        <f t="shared" si="2"/>
        <v>0</v>
      </c>
      <c r="M17" s="17"/>
      <c r="N17" s="86"/>
      <c r="O17" s="17"/>
      <c r="P17" s="43"/>
    </row>
    <row r="18" spans="1:16" x14ac:dyDescent="0.2">
      <c r="A18" s="17"/>
      <c r="B18" s="17"/>
      <c r="C18" s="17"/>
      <c r="D18" s="17"/>
      <c r="E18" s="44"/>
      <c r="F18" s="44">
        <f t="shared" si="0"/>
        <v>0</v>
      </c>
      <c r="G18" s="44"/>
      <c r="H18" s="44">
        <f t="shared" si="3"/>
        <v>0</v>
      </c>
      <c r="I18" s="17"/>
      <c r="J18" s="44"/>
      <c r="K18" s="44">
        <f t="shared" si="1"/>
        <v>0</v>
      </c>
      <c r="L18" s="44">
        <f t="shared" si="2"/>
        <v>0</v>
      </c>
      <c r="M18" s="17"/>
      <c r="N18" s="17"/>
      <c r="O18" s="17"/>
      <c r="P18" s="43"/>
    </row>
    <row r="19" spans="1:16" x14ac:dyDescent="0.2">
      <c r="A19" s="17"/>
      <c r="B19" s="17"/>
      <c r="C19" s="17"/>
      <c r="D19" s="17"/>
      <c r="E19" s="44"/>
      <c r="F19" s="44">
        <f t="shared" si="0"/>
        <v>0</v>
      </c>
      <c r="G19" s="44"/>
      <c r="H19" s="44">
        <f t="shared" si="3"/>
        <v>0</v>
      </c>
      <c r="I19" s="17"/>
      <c r="J19" s="44"/>
      <c r="K19" s="44">
        <f t="shared" si="1"/>
        <v>0</v>
      </c>
      <c r="L19" s="44">
        <f t="shared" si="2"/>
        <v>0</v>
      </c>
      <c r="M19" s="17"/>
      <c r="N19" s="17"/>
      <c r="O19" s="17"/>
      <c r="P19" s="43"/>
    </row>
    <row r="20" spans="1:16" x14ac:dyDescent="0.2">
      <c r="A20" s="17"/>
      <c r="B20" s="17"/>
      <c r="C20" s="17"/>
      <c r="D20" s="17"/>
      <c r="E20" s="44"/>
      <c r="F20" s="44">
        <f t="shared" si="0"/>
        <v>0</v>
      </c>
      <c r="G20" s="44"/>
      <c r="H20" s="44">
        <f t="shared" si="3"/>
        <v>0</v>
      </c>
      <c r="I20" s="17"/>
      <c r="J20" s="44"/>
      <c r="K20" s="44">
        <f t="shared" si="1"/>
        <v>0</v>
      </c>
      <c r="L20" s="44">
        <f t="shared" si="2"/>
        <v>0</v>
      </c>
      <c r="M20" s="17"/>
      <c r="N20" s="17"/>
      <c r="O20" s="17"/>
      <c r="P20" s="43"/>
    </row>
    <row r="22" spans="1:16" ht="23.25" x14ac:dyDescent="0.35">
      <c r="E22" s="46" t="s">
        <v>38</v>
      </c>
      <c r="F22" s="33">
        <f>SUM(F2:F20)</f>
        <v>36004.199999999997</v>
      </c>
      <c r="G22" s="33">
        <f>SUM(G2:G20)</f>
        <v>31308</v>
      </c>
      <c r="H22" s="33">
        <f>SUM(H2:H20)</f>
        <v>4696.2</v>
      </c>
      <c r="J22" s="39"/>
      <c r="K22" s="33">
        <f>SUM(K2:K20)</f>
        <v>626.16000000000008</v>
      </c>
      <c r="L22" s="33">
        <f>SUM(L2:L20)</f>
        <v>35378.04</v>
      </c>
      <c r="M22" s="33">
        <f>SUM(M2:M20)</f>
        <v>35378</v>
      </c>
    </row>
    <row r="23" spans="1:16" ht="18.75" x14ac:dyDescent="0.3">
      <c r="E23" s="48" t="s">
        <v>39</v>
      </c>
    </row>
    <row r="26" spans="1:16" ht="15" x14ac:dyDescent="0.25">
      <c r="L26" s="112"/>
    </row>
    <row r="27" spans="1:16" ht="15" x14ac:dyDescent="0.25">
      <c r="L27" s="112"/>
    </row>
    <row r="28" spans="1:16" ht="15" x14ac:dyDescent="0.25">
      <c r="L28" s="112"/>
    </row>
    <row r="29" spans="1:16" ht="15" x14ac:dyDescent="0.25">
      <c r="L29" s="112"/>
    </row>
    <row r="30" spans="1:16" ht="15" x14ac:dyDescent="0.25">
      <c r="L30" s="112"/>
    </row>
  </sheetData>
  <hyperlinks>
    <hyperlink ref="E22" location="HOME!A1" display="HOME" xr:uid="{00000000-0004-0000-0A00-000000000000}"/>
    <hyperlink ref="E23" location="MONTHWISE!A1" display="Monthwise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P17"/>
  <sheetViews>
    <sheetView workbookViewId="0">
      <selection activeCell="E16" sqref="E16"/>
    </sheetView>
  </sheetViews>
  <sheetFormatPr defaultRowHeight="15" x14ac:dyDescent="0.25"/>
  <cols>
    <col min="1" max="1" width="12.85546875" bestFit="1" customWidth="1"/>
    <col min="2" max="2" width="5.5703125" bestFit="1" customWidth="1"/>
    <col min="3" max="3" width="8.7109375" bestFit="1" customWidth="1"/>
    <col min="4" max="4" width="7.5703125" bestFit="1" customWidth="1"/>
    <col min="5" max="5" width="29.140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9.7109375" bestFit="1" customWidth="1"/>
  </cols>
  <sheetData>
    <row r="1" spans="1:16" x14ac:dyDescent="0.25">
      <c r="A1" s="127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64" t="s">
        <v>37</v>
      </c>
    </row>
    <row r="2" spans="1:16" x14ac:dyDescent="0.25">
      <c r="A2" s="14" t="s">
        <v>285</v>
      </c>
      <c r="B2" s="14"/>
      <c r="C2" s="14"/>
      <c r="D2" s="14" t="s">
        <v>84</v>
      </c>
      <c r="E2" s="202" t="s">
        <v>286</v>
      </c>
      <c r="F2" s="174">
        <f t="shared" ref="F2:F14" si="0">SUM(G2:H2)</f>
        <v>5925.375</v>
      </c>
      <c r="G2" s="75">
        <v>5175</v>
      </c>
      <c r="H2" s="75">
        <f>G2*14.5%</f>
        <v>750.375</v>
      </c>
      <c r="I2" s="94">
        <v>42520</v>
      </c>
      <c r="J2" s="76">
        <f t="shared" ref="J2:J14" si="1">I2+45</f>
        <v>42565</v>
      </c>
      <c r="K2" s="75">
        <f>G2*2%</f>
        <v>103.5</v>
      </c>
      <c r="L2" s="75">
        <f>F2-K2</f>
        <v>5821.875</v>
      </c>
      <c r="M2" s="14">
        <v>5822</v>
      </c>
      <c r="N2" s="14" t="s">
        <v>512</v>
      </c>
      <c r="O2" s="10" t="s">
        <v>44</v>
      </c>
      <c r="P2" s="68" t="s">
        <v>122</v>
      </c>
    </row>
    <row r="3" spans="1:16" x14ac:dyDescent="0.25">
      <c r="A3" s="14" t="s">
        <v>287</v>
      </c>
      <c r="B3" s="14"/>
      <c r="C3" s="14"/>
      <c r="D3" s="14" t="s">
        <v>84</v>
      </c>
      <c r="E3" s="75" t="s">
        <v>288</v>
      </c>
      <c r="F3" s="174">
        <f t="shared" si="0"/>
        <v>20542.45</v>
      </c>
      <c r="G3" s="75">
        <v>17863</v>
      </c>
      <c r="H3" s="75">
        <f>G3*15%</f>
        <v>2679.45</v>
      </c>
      <c r="I3" s="76">
        <v>42536</v>
      </c>
      <c r="J3" s="76">
        <f t="shared" si="1"/>
        <v>42581</v>
      </c>
      <c r="K3" s="75">
        <f t="shared" ref="K3:K14" si="2">G3*2%</f>
        <v>357.26</v>
      </c>
      <c r="L3" s="75">
        <f t="shared" ref="L3:L14" si="3">F3-K3</f>
        <v>20185.190000000002</v>
      </c>
      <c r="M3" s="14">
        <v>20186</v>
      </c>
      <c r="N3" s="14" t="s">
        <v>289</v>
      </c>
      <c r="O3" s="10" t="s">
        <v>44</v>
      </c>
      <c r="P3" s="68" t="s">
        <v>122</v>
      </c>
    </row>
    <row r="4" spans="1:16" x14ac:dyDescent="0.25">
      <c r="A4" s="14" t="s">
        <v>290</v>
      </c>
      <c r="B4" s="14"/>
      <c r="C4" s="14"/>
      <c r="D4" s="14" t="s">
        <v>84</v>
      </c>
      <c r="E4" s="75" t="s">
        <v>291</v>
      </c>
      <c r="F4" s="174">
        <f t="shared" si="0"/>
        <v>77637.649999999994</v>
      </c>
      <c r="G4" s="75">
        <v>67511</v>
      </c>
      <c r="H4" s="75">
        <f t="shared" ref="H4:H14" si="4">G4*15%</f>
        <v>10126.65</v>
      </c>
      <c r="I4" s="76">
        <v>42566</v>
      </c>
      <c r="J4" s="76">
        <f t="shared" si="1"/>
        <v>42611</v>
      </c>
      <c r="K4" s="75">
        <f t="shared" si="2"/>
        <v>1350.22</v>
      </c>
      <c r="L4" s="75">
        <f t="shared" si="3"/>
        <v>76287.429999999993</v>
      </c>
      <c r="M4" s="14">
        <v>76288</v>
      </c>
      <c r="N4" s="14" t="s">
        <v>289</v>
      </c>
      <c r="O4" s="10" t="s">
        <v>44</v>
      </c>
      <c r="P4" s="68" t="s">
        <v>122</v>
      </c>
    </row>
    <row r="5" spans="1:16" x14ac:dyDescent="0.25">
      <c r="A5" s="14" t="s">
        <v>304</v>
      </c>
      <c r="B5" s="14"/>
      <c r="C5" s="14"/>
      <c r="D5" s="14" t="s">
        <v>84</v>
      </c>
      <c r="E5" s="75" t="s">
        <v>359</v>
      </c>
      <c r="F5" s="174">
        <f t="shared" si="0"/>
        <v>133030.85</v>
      </c>
      <c r="G5" s="75">
        <v>115679</v>
      </c>
      <c r="H5" s="75">
        <f t="shared" si="4"/>
        <v>17351.849999999999</v>
      </c>
      <c r="I5" s="76">
        <v>42582</v>
      </c>
      <c r="J5" s="76">
        <f t="shared" si="1"/>
        <v>42627</v>
      </c>
      <c r="K5" s="75">
        <f t="shared" si="2"/>
        <v>2313.58</v>
      </c>
      <c r="L5" s="75">
        <f t="shared" si="3"/>
        <v>130717.27</v>
      </c>
      <c r="M5" s="14">
        <v>130716</v>
      </c>
      <c r="N5" s="14" t="s">
        <v>394</v>
      </c>
      <c r="O5" s="10" t="s">
        <v>44</v>
      </c>
      <c r="P5" s="68" t="s">
        <v>122</v>
      </c>
    </row>
    <row r="6" spans="1:16" x14ac:dyDescent="0.25">
      <c r="A6" s="14" t="s">
        <v>397</v>
      </c>
      <c r="B6" s="14"/>
      <c r="C6" s="14"/>
      <c r="D6" s="14" t="s">
        <v>84</v>
      </c>
      <c r="E6" s="75" t="s">
        <v>396</v>
      </c>
      <c r="F6" s="174">
        <f t="shared" si="0"/>
        <v>98640.1</v>
      </c>
      <c r="G6" s="75">
        <v>85774</v>
      </c>
      <c r="H6" s="75">
        <f t="shared" si="4"/>
        <v>12866.1</v>
      </c>
      <c r="I6" s="76">
        <v>42622</v>
      </c>
      <c r="J6" s="76">
        <f t="shared" si="1"/>
        <v>42667</v>
      </c>
      <c r="K6" s="75">
        <f t="shared" si="2"/>
        <v>1715.48</v>
      </c>
      <c r="L6" s="75">
        <f t="shared" si="3"/>
        <v>96924.62000000001</v>
      </c>
      <c r="M6" s="14">
        <v>96925</v>
      </c>
      <c r="N6" s="14" t="s">
        <v>512</v>
      </c>
      <c r="O6" s="10" t="s">
        <v>44</v>
      </c>
      <c r="P6" s="68" t="s">
        <v>122</v>
      </c>
    </row>
    <row r="7" spans="1:16" x14ac:dyDescent="0.25">
      <c r="A7" s="14" t="s">
        <v>458</v>
      </c>
      <c r="B7" s="14"/>
      <c r="C7" s="14"/>
      <c r="D7" s="14" t="s">
        <v>469</v>
      </c>
      <c r="E7" s="75" t="s">
        <v>468</v>
      </c>
      <c r="F7" s="74">
        <f t="shared" si="0"/>
        <v>95171.7</v>
      </c>
      <c r="G7" s="75">
        <v>82758</v>
      </c>
      <c r="H7" s="75">
        <f t="shared" si="4"/>
        <v>12413.699999999999</v>
      </c>
      <c r="I7" s="76">
        <v>42614</v>
      </c>
      <c r="J7" s="76">
        <f t="shared" si="1"/>
        <v>42659</v>
      </c>
      <c r="K7" s="75">
        <f t="shared" si="2"/>
        <v>1655.16</v>
      </c>
      <c r="L7" s="75">
        <f t="shared" si="3"/>
        <v>93516.54</v>
      </c>
      <c r="M7" s="14">
        <v>93517</v>
      </c>
      <c r="N7" s="14" t="s">
        <v>481</v>
      </c>
      <c r="O7" s="10" t="s">
        <v>44</v>
      </c>
      <c r="P7" s="68" t="s">
        <v>122</v>
      </c>
    </row>
    <row r="8" spans="1:16" x14ac:dyDescent="0.25">
      <c r="A8" s="14" t="s">
        <v>506</v>
      </c>
      <c r="B8" s="14"/>
      <c r="C8" s="14"/>
      <c r="D8" s="14" t="s">
        <v>469</v>
      </c>
      <c r="E8" s="75" t="s">
        <v>505</v>
      </c>
      <c r="F8" s="74">
        <f t="shared" si="0"/>
        <v>91163.95</v>
      </c>
      <c r="G8" s="75">
        <v>79273</v>
      </c>
      <c r="H8" s="75">
        <f t="shared" si="4"/>
        <v>11890.949999999999</v>
      </c>
      <c r="I8" s="76">
        <v>42644</v>
      </c>
      <c r="J8" s="76">
        <f t="shared" si="1"/>
        <v>42689</v>
      </c>
      <c r="K8" s="75">
        <f t="shared" si="2"/>
        <v>1585.46</v>
      </c>
      <c r="L8" s="75">
        <f t="shared" si="3"/>
        <v>89578.489999999991</v>
      </c>
      <c r="M8" s="14">
        <v>89579</v>
      </c>
      <c r="N8" s="14" t="s">
        <v>557</v>
      </c>
      <c r="O8" s="10" t="s">
        <v>44</v>
      </c>
      <c r="P8" s="68" t="s">
        <v>122</v>
      </c>
    </row>
    <row r="9" spans="1:16" x14ac:dyDescent="0.25">
      <c r="A9" s="14" t="s">
        <v>556</v>
      </c>
      <c r="B9" s="14"/>
      <c r="C9" s="14"/>
      <c r="D9" s="14" t="s">
        <v>469</v>
      </c>
      <c r="E9" s="75" t="s">
        <v>555</v>
      </c>
      <c r="F9" s="74">
        <f t="shared" si="0"/>
        <v>120831.65</v>
      </c>
      <c r="G9" s="75">
        <v>105071</v>
      </c>
      <c r="H9" s="75">
        <f t="shared" si="4"/>
        <v>15760.65</v>
      </c>
      <c r="I9" s="76">
        <v>42675</v>
      </c>
      <c r="J9" s="76">
        <f t="shared" si="1"/>
        <v>42720</v>
      </c>
      <c r="K9" s="75">
        <f t="shared" si="2"/>
        <v>2101.42</v>
      </c>
      <c r="L9" s="75">
        <f t="shared" si="3"/>
        <v>118730.23</v>
      </c>
      <c r="M9" s="14">
        <v>118730</v>
      </c>
      <c r="N9" s="14" t="s">
        <v>640</v>
      </c>
      <c r="O9" s="10" t="s">
        <v>44</v>
      </c>
      <c r="P9" s="68" t="s">
        <v>122</v>
      </c>
    </row>
    <row r="10" spans="1:16" x14ac:dyDescent="0.25">
      <c r="A10" s="14" t="s">
        <v>656</v>
      </c>
      <c r="B10" s="14"/>
      <c r="C10" s="14"/>
      <c r="D10" s="14" t="s">
        <v>469</v>
      </c>
      <c r="E10" s="75" t="s">
        <v>693</v>
      </c>
      <c r="F10" s="74">
        <f t="shared" si="0"/>
        <v>130169.65</v>
      </c>
      <c r="G10" s="75">
        <v>113191</v>
      </c>
      <c r="H10" s="75">
        <f t="shared" si="4"/>
        <v>16978.649999999998</v>
      </c>
      <c r="I10" s="76">
        <v>43070</v>
      </c>
      <c r="J10" s="76">
        <f t="shared" si="1"/>
        <v>43115</v>
      </c>
      <c r="K10" s="75">
        <f t="shared" si="2"/>
        <v>2263.8200000000002</v>
      </c>
      <c r="L10" s="75">
        <f t="shared" si="3"/>
        <v>127905.82999999999</v>
      </c>
      <c r="M10" s="14">
        <v>127906</v>
      </c>
      <c r="N10" s="14" t="s">
        <v>847</v>
      </c>
      <c r="O10" s="10" t="s">
        <v>44</v>
      </c>
      <c r="P10" s="68" t="s">
        <v>122</v>
      </c>
    </row>
    <row r="11" spans="1:16" x14ac:dyDescent="0.25">
      <c r="A11" s="17"/>
      <c r="B11" s="17"/>
      <c r="C11" s="17"/>
      <c r="D11" s="17"/>
      <c r="E11" s="44"/>
      <c r="F11" s="41">
        <f t="shared" si="0"/>
        <v>0</v>
      </c>
      <c r="G11" s="44"/>
      <c r="H11" s="44">
        <f t="shared" si="4"/>
        <v>0</v>
      </c>
      <c r="I11" s="17"/>
      <c r="J11" s="78">
        <f t="shared" si="1"/>
        <v>45</v>
      </c>
      <c r="K11" s="44">
        <f t="shared" si="2"/>
        <v>0</v>
      </c>
      <c r="L11" s="44">
        <f t="shared" si="3"/>
        <v>0</v>
      </c>
      <c r="M11" s="17"/>
      <c r="N11" s="17"/>
      <c r="O11" s="17"/>
      <c r="P11" s="23"/>
    </row>
    <row r="12" spans="1:16" x14ac:dyDescent="0.25">
      <c r="A12" s="17"/>
      <c r="B12" s="17"/>
      <c r="C12" s="17"/>
      <c r="D12" s="17"/>
      <c r="E12" s="44"/>
      <c r="F12" s="41">
        <f t="shared" si="0"/>
        <v>0</v>
      </c>
      <c r="G12" s="44"/>
      <c r="H12" s="44">
        <f t="shared" si="4"/>
        <v>0</v>
      </c>
      <c r="I12" s="17"/>
      <c r="J12" s="78">
        <f t="shared" si="1"/>
        <v>45</v>
      </c>
      <c r="K12" s="44">
        <f t="shared" si="2"/>
        <v>0</v>
      </c>
      <c r="L12" s="44">
        <f t="shared" si="3"/>
        <v>0</v>
      </c>
      <c r="M12" s="17"/>
      <c r="N12" s="17"/>
      <c r="O12" s="17"/>
      <c r="P12" s="23"/>
    </row>
    <row r="13" spans="1:16" x14ac:dyDescent="0.25">
      <c r="A13" s="17"/>
      <c r="B13" s="17"/>
      <c r="C13" s="17"/>
      <c r="D13" s="17"/>
      <c r="E13" s="44"/>
      <c r="F13" s="41">
        <f t="shared" si="0"/>
        <v>0</v>
      </c>
      <c r="G13" s="44"/>
      <c r="H13" s="44">
        <f t="shared" si="4"/>
        <v>0</v>
      </c>
      <c r="I13" s="17"/>
      <c r="J13" s="78">
        <f t="shared" si="1"/>
        <v>45</v>
      </c>
      <c r="K13" s="44">
        <f t="shared" si="2"/>
        <v>0</v>
      </c>
      <c r="L13" s="44">
        <f t="shared" si="3"/>
        <v>0</v>
      </c>
      <c r="M13" s="17"/>
      <c r="N13" s="17"/>
      <c r="O13" s="17"/>
      <c r="P13" s="23"/>
    </row>
    <row r="14" spans="1:16" x14ac:dyDescent="0.25">
      <c r="A14" s="17"/>
      <c r="B14" s="17"/>
      <c r="C14" s="17"/>
      <c r="D14" s="17"/>
      <c r="E14" s="44"/>
      <c r="F14" s="41">
        <f t="shared" si="0"/>
        <v>0</v>
      </c>
      <c r="G14" s="44"/>
      <c r="H14" s="44">
        <f t="shared" si="4"/>
        <v>0</v>
      </c>
      <c r="I14" s="17"/>
      <c r="J14" s="78">
        <f t="shared" si="1"/>
        <v>45</v>
      </c>
      <c r="K14" s="44">
        <f t="shared" si="2"/>
        <v>0</v>
      </c>
      <c r="L14" s="44">
        <f t="shared" si="3"/>
        <v>0</v>
      </c>
      <c r="M14" s="17"/>
      <c r="N14" s="17"/>
      <c r="O14" s="17"/>
      <c r="P14" s="17"/>
    </row>
    <row r="15" spans="1:16" x14ac:dyDescent="0.25">
      <c r="A15" s="5"/>
      <c r="B15" s="5"/>
      <c r="C15" s="5"/>
      <c r="D15" s="5"/>
      <c r="E15" s="32"/>
      <c r="F15" s="32"/>
      <c r="G15" s="32"/>
      <c r="H15" s="32"/>
      <c r="I15" s="5"/>
      <c r="J15" s="32"/>
      <c r="K15" s="32"/>
      <c r="L15" s="32"/>
      <c r="M15" s="5"/>
      <c r="N15" s="5"/>
      <c r="O15" s="5"/>
      <c r="P15" s="5"/>
    </row>
    <row r="16" spans="1:16" ht="23.25" x14ac:dyDescent="0.35">
      <c r="A16" s="5"/>
      <c r="B16" s="5"/>
      <c r="C16" s="5"/>
      <c r="D16" s="5"/>
      <c r="E16" s="46" t="s">
        <v>38</v>
      </c>
      <c r="F16" s="33">
        <f>SUM(F2:F14)</f>
        <v>773113.37500000012</v>
      </c>
      <c r="G16" s="33">
        <f>SUM(G2:G14)</f>
        <v>672295</v>
      </c>
      <c r="H16" s="33">
        <f>SUM(H2:H14)</f>
        <v>100818.37499999999</v>
      </c>
      <c r="I16" s="32"/>
      <c r="J16" s="5"/>
      <c r="K16" s="33">
        <f>SUM(K2:K14)</f>
        <v>13445.9</v>
      </c>
      <c r="L16" s="33">
        <f>SUM(L2:L14)</f>
        <v>759667.47499999998</v>
      </c>
      <c r="M16" s="33">
        <f>SUM(M2:M14)</f>
        <v>759669</v>
      </c>
      <c r="N16" s="5"/>
      <c r="O16" s="5"/>
      <c r="P16" s="5"/>
    </row>
    <row r="17" spans="5:5" ht="18.75" x14ac:dyDescent="0.3">
      <c r="E17" s="48" t="s">
        <v>39</v>
      </c>
    </row>
  </sheetData>
  <hyperlinks>
    <hyperlink ref="E16" location="HOME!A1" display="HOME" xr:uid="{00000000-0004-0000-0B00-000000000000}"/>
    <hyperlink ref="E17" location="MONTHWISE!A1" display="Monthwise" xr:uid="{00000000-0004-0000-0B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P20"/>
  <sheetViews>
    <sheetView workbookViewId="0">
      <selection activeCell="E16" sqref="E16"/>
    </sheetView>
  </sheetViews>
  <sheetFormatPr defaultColWidth="9.140625" defaultRowHeight="12.75" x14ac:dyDescent="0.2"/>
  <cols>
    <col min="1" max="1" width="12.5703125" style="39" bestFit="1" customWidth="1"/>
    <col min="2" max="2" width="5.5703125" style="39" bestFit="1" customWidth="1"/>
    <col min="3" max="3" width="8.7109375" style="39" bestFit="1" customWidth="1"/>
    <col min="4" max="4" width="5.5703125" style="123" bestFit="1" customWidth="1"/>
    <col min="5" max="5" width="24.28515625" style="71" bestFit="1" customWidth="1"/>
    <col min="6" max="6" width="10.42578125" style="42" bestFit="1" customWidth="1"/>
    <col min="7" max="7" width="9.28515625" style="32" bestFit="1" customWidth="1"/>
    <col min="8" max="8" width="8.7109375" style="42" bestFit="1" customWidth="1"/>
    <col min="9" max="9" width="10.7109375" style="39" bestFit="1" customWidth="1"/>
    <col min="10" max="10" width="7.42578125" style="71" bestFit="1" customWidth="1"/>
    <col min="11" max="11" width="6.5703125" style="32" bestFit="1" customWidth="1"/>
    <col min="12" max="12" width="12.140625" style="42" bestFit="1" customWidth="1"/>
    <col min="13" max="13" width="13.5703125" style="42" bestFit="1" customWidth="1"/>
    <col min="14" max="14" width="14.85546875" style="39" bestFit="1" customWidth="1"/>
    <col min="15" max="15" width="5.42578125" style="39" bestFit="1" customWidth="1"/>
    <col min="16" max="16" width="11.7109375" style="39" bestFit="1" customWidth="1"/>
    <col min="17" max="16384" width="9.140625" style="39"/>
  </cols>
  <sheetData>
    <row r="1" spans="1:16" x14ac:dyDescent="0.2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">
      <c r="A2" s="65" t="s">
        <v>46</v>
      </c>
      <c r="B2" s="65"/>
      <c r="C2" s="65"/>
      <c r="D2" s="122"/>
      <c r="E2" s="66" t="s">
        <v>292</v>
      </c>
      <c r="F2" s="75">
        <f t="shared" ref="F2:F14" si="0">SUM(G2:H2)</f>
        <v>1522.85</v>
      </c>
      <c r="G2" s="67">
        <v>1330</v>
      </c>
      <c r="H2" s="75">
        <f t="shared" ref="H2:H3" si="1">G2*14.5%</f>
        <v>192.85</v>
      </c>
      <c r="I2" s="65"/>
      <c r="J2" s="66"/>
      <c r="K2" s="75">
        <f t="shared" ref="K2:K14" si="2">G2*2%</f>
        <v>26.6</v>
      </c>
      <c r="L2" s="75">
        <f t="shared" ref="L2:L14" si="3">F2-K2</f>
        <v>1496.25</v>
      </c>
      <c r="M2" s="67">
        <v>1496</v>
      </c>
      <c r="N2" s="65" t="s">
        <v>293</v>
      </c>
      <c r="O2" s="14" t="s">
        <v>44</v>
      </c>
      <c r="P2" s="14" t="s">
        <v>45</v>
      </c>
    </row>
    <row r="3" spans="1:16" x14ac:dyDescent="0.2">
      <c r="A3" s="65" t="s">
        <v>46</v>
      </c>
      <c r="B3" s="65"/>
      <c r="C3" s="65"/>
      <c r="D3" s="122"/>
      <c r="E3" s="66" t="s">
        <v>294</v>
      </c>
      <c r="F3" s="75">
        <f t="shared" si="0"/>
        <v>23186.25</v>
      </c>
      <c r="G3" s="67">
        <v>20250</v>
      </c>
      <c r="H3" s="75">
        <f t="shared" si="1"/>
        <v>2936.25</v>
      </c>
      <c r="I3" s="65"/>
      <c r="J3" s="66"/>
      <c r="K3" s="75">
        <f t="shared" si="2"/>
        <v>405</v>
      </c>
      <c r="L3" s="75">
        <f t="shared" si="3"/>
        <v>22781.25</v>
      </c>
      <c r="M3" s="67">
        <v>22781</v>
      </c>
      <c r="N3" s="65" t="s">
        <v>293</v>
      </c>
      <c r="O3" s="14" t="s">
        <v>44</v>
      </c>
      <c r="P3" s="14" t="s">
        <v>45</v>
      </c>
    </row>
    <row r="4" spans="1:16" x14ac:dyDescent="0.2">
      <c r="A4" s="65" t="s">
        <v>135</v>
      </c>
      <c r="B4" s="65"/>
      <c r="C4" s="65"/>
      <c r="D4" s="122"/>
      <c r="E4" s="66" t="s">
        <v>295</v>
      </c>
      <c r="F4" s="75">
        <f t="shared" si="0"/>
        <v>414</v>
      </c>
      <c r="G4" s="67">
        <v>360</v>
      </c>
      <c r="H4" s="75">
        <f>G4*15%</f>
        <v>54</v>
      </c>
      <c r="I4" s="65"/>
      <c r="J4" s="66"/>
      <c r="K4" s="75">
        <f t="shared" si="2"/>
        <v>7.2</v>
      </c>
      <c r="L4" s="75">
        <f t="shared" si="3"/>
        <v>406.8</v>
      </c>
      <c r="M4" s="67">
        <v>407</v>
      </c>
      <c r="N4" s="65" t="s">
        <v>398</v>
      </c>
      <c r="O4" s="14" t="s">
        <v>44</v>
      </c>
      <c r="P4" s="14" t="s">
        <v>45</v>
      </c>
    </row>
    <row r="5" spans="1:16" x14ac:dyDescent="0.2">
      <c r="A5" s="65" t="s">
        <v>135</v>
      </c>
      <c r="B5" s="65"/>
      <c r="C5" s="65"/>
      <c r="D5" s="122"/>
      <c r="E5" s="66" t="s">
        <v>296</v>
      </c>
      <c r="F5" s="75">
        <f t="shared" si="0"/>
        <v>3082</v>
      </c>
      <c r="G5" s="67">
        <v>2680</v>
      </c>
      <c r="H5" s="75">
        <f t="shared" ref="H5:H14" si="4">G5*15%</f>
        <v>402</v>
      </c>
      <c r="I5" s="65"/>
      <c r="J5" s="66"/>
      <c r="K5" s="75">
        <f t="shared" si="2"/>
        <v>53.6</v>
      </c>
      <c r="L5" s="75">
        <f t="shared" si="3"/>
        <v>3028.4</v>
      </c>
      <c r="M5" s="67">
        <v>3028</v>
      </c>
      <c r="N5" s="65" t="s">
        <v>398</v>
      </c>
      <c r="O5" s="14" t="s">
        <v>44</v>
      </c>
      <c r="P5" s="14" t="s">
        <v>45</v>
      </c>
    </row>
    <row r="6" spans="1:16" x14ac:dyDescent="0.2">
      <c r="A6" s="65" t="s">
        <v>135</v>
      </c>
      <c r="B6" s="65"/>
      <c r="C6" s="65"/>
      <c r="D6" s="122"/>
      <c r="E6" s="66" t="s">
        <v>297</v>
      </c>
      <c r="F6" s="75">
        <f t="shared" si="0"/>
        <v>70851.5</v>
      </c>
      <c r="G6" s="67">
        <v>61610</v>
      </c>
      <c r="H6" s="75">
        <f t="shared" si="4"/>
        <v>9241.5</v>
      </c>
      <c r="I6" s="65"/>
      <c r="J6" s="66"/>
      <c r="K6" s="75">
        <f t="shared" si="2"/>
        <v>1232.2</v>
      </c>
      <c r="L6" s="75">
        <f t="shared" si="3"/>
        <v>69619.3</v>
      </c>
      <c r="M6" s="67">
        <v>69619</v>
      </c>
      <c r="N6" s="65" t="s">
        <v>398</v>
      </c>
      <c r="O6" s="14" t="s">
        <v>44</v>
      </c>
      <c r="P6" s="14" t="s">
        <v>45</v>
      </c>
    </row>
    <row r="7" spans="1:16" x14ac:dyDescent="0.2">
      <c r="A7" s="65" t="s">
        <v>370</v>
      </c>
      <c r="B7" s="65"/>
      <c r="C7" s="65"/>
      <c r="D7" s="122"/>
      <c r="E7" s="66" t="s">
        <v>369</v>
      </c>
      <c r="F7" s="75">
        <f t="shared" si="0"/>
        <v>31588.2</v>
      </c>
      <c r="G7" s="67">
        <v>27468</v>
      </c>
      <c r="H7" s="75">
        <f t="shared" si="4"/>
        <v>4120.2</v>
      </c>
      <c r="I7" s="65"/>
      <c r="J7" s="66"/>
      <c r="K7" s="75">
        <f t="shared" si="2"/>
        <v>549.36</v>
      </c>
      <c r="L7" s="75">
        <f t="shared" si="3"/>
        <v>31038.84</v>
      </c>
      <c r="M7" s="67">
        <v>31039</v>
      </c>
      <c r="N7" s="65" t="s">
        <v>744</v>
      </c>
      <c r="O7" s="14" t="s">
        <v>44</v>
      </c>
      <c r="P7" s="14" t="s">
        <v>45</v>
      </c>
    </row>
    <row r="8" spans="1:16" x14ac:dyDescent="0.2">
      <c r="A8" s="65" t="s">
        <v>400</v>
      </c>
      <c r="B8" s="65"/>
      <c r="C8" s="65"/>
      <c r="D8" s="122"/>
      <c r="E8" s="66" t="s">
        <v>399</v>
      </c>
      <c r="F8" s="75">
        <f t="shared" si="0"/>
        <v>40884.800000000003</v>
      </c>
      <c r="G8" s="67">
        <v>35552</v>
      </c>
      <c r="H8" s="75">
        <f t="shared" si="4"/>
        <v>5332.8</v>
      </c>
      <c r="I8" s="65"/>
      <c r="J8" s="66"/>
      <c r="K8" s="75">
        <f t="shared" si="2"/>
        <v>711.04</v>
      </c>
      <c r="L8" s="75">
        <f t="shared" si="3"/>
        <v>40173.760000000002</v>
      </c>
      <c r="M8" s="67">
        <v>40174</v>
      </c>
      <c r="N8" s="65" t="s">
        <v>624</v>
      </c>
      <c r="O8" s="14" t="s">
        <v>44</v>
      </c>
      <c r="P8" s="14" t="s">
        <v>45</v>
      </c>
    </row>
    <row r="9" spans="1:16" x14ac:dyDescent="0.2">
      <c r="A9" s="65" t="s">
        <v>541</v>
      </c>
      <c r="B9" s="65"/>
      <c r="C9" s="65"/>
      <c r="D9" s="122"/>
      <c r="E9" s="66" t="s">
        <v>539</v>
      </c>
      <c r="F9" s="75">
        <f t="shared" si="0"/>
        <v>48420.75</v>
      </c>
      <c r="G9" s="67">
        <v>42105</v>
      </c>
      <c r="H9" s="75">
        <f t="shared" si="4"/>
        <v>6315.75</v>
      </c>
      <c r="I9" s="65"/>
      <c r="J9" s="66"/>
      <c r="K9" s="75">
        <f t="shared" si="2"/>
        <v>842.1</v>
      </c>
      <c r="L9" s="75">
        <f t="shared" si="3"/>
        <v>47578.65</v>
      </c>
      <c r="M9" s="67">
        <v>47578</v>
      </c>
      <c r="N9" s="65" t="s">
        <v>624</v>
      </c>
      <c r="O9" s="14" t="s">
        <v>44</v>
      </c>
      <c r="P9" s="14" t="s">
        <v>45</v>
      </c>
    </row>
    <row r="10" spans="1:16" x14ac:dyDescent="0.2">
      <c r="A10" s="65" t="s">
        <v>541</v>
      </c>
      <c r="B10" s="65"/>
      <c r="C10" s="65"/>
      <c r="D10" s="122"/>
      <c r="E10" s="66" t="s">
        <v>540</v>
      </c>
      <c r="F10" s="75">
        <f t="shared" si="0"/>
        <v>56699.6</v>
      </c>
      <c r="G10" s="67">
        <v>49304</v>
      </c>
      <c r="H10" s="75">
        <f t="shared" si="4"/>
        <v>7395.5999999999995</v>
      </c>
      <c r="I10" s="216"/>
      <c r="J10" s="66"/>
      <c r="K10" s="75">
        <f t="shared" si="2"/>
        <v>986.08</v>
      </c>
      <c r="L10" s="75">
        <f t="shared" si="3"/>
        <v>55713.52</v>
      </c>
      <c r="M10" s="67">
        <v>55714</v>
      </c>
      <c r="N10" s="65" t="s">
        <v>744</v>
      </c>
      <c r="O10" s="14" t="s">
        <v>44</v>
      </c>
      <c r="P10" s="14" t="s">
        <v>45</v>
      </c>
    </row>
    <row r="11" spans="1:16" x14ac:dyDescent="0.2">
      <c r="A11" s="65" t="s">
        <v>626</v>
      </c>
      <c r="B11" s="65"/>
      <c r="C11" s="65"/>
      <c r="D11" s="122"/>
      <c r="E11" s="66" t="s">
        <v>625</v>
      </c>
      <c r="F11" s="75">
        <f t="shared" si="0"/>
        <v>88347.6</v>
      </c>
      <c r="G11" s="67">
        <v>76824</v>
      </c>
      <c r="H11" s="75">
        <f t="shared" si="4"/>
        <v>11523.6</v>
      </c>
      <c r="I11" s="216"/>
      <c r="J11" s="66"/>
      <c r="K11" s="75">
        <f t="shared" si="2"/>
        <v>1536.48</v>
      </c>
      <c r="L11" s="75">
        <f t="shared" si="3"/>
        <v>86811.12000000001</v>
      </c>
      <c r="M11" s="67">
        <v>86811</v>
      </c>
      <c r="N11" s="65" t="s">
        <v>776</v>
      </c>
      <c r="O11" s="14" t="s">
        <v>44</v>
      </c>
      <c r="P11" s="14" t="s">
        <v>45</v>
      </c>
    </row>
    <row r="12" spans="1:16" x14ac:dyDescent="0.2">
      <c r="A12" s="65" t="s">
        <v>769</v>
      </c>
      <c r="B12" s="65"/>
      <c r="C12" s="65"/>
      <c r="D12" s="122"/>
      <c r="E12" s="66" t="s">
        <v>774</v>
      </c>
      <c r="F12" s="75">
        <f t="shared" si="0"/>
        <v>5423.4</v>
      </c>
      <c r="G12" s="67">
        <v>4716</v>
      </c>
      <c r="H12" s="75">
        <f t="shared" si="4"/>
        <v>707.4</v>
      </c>
      <c r="I12" s="65"/>
      <c r="J12" s="66"/>
      <c r="K12" s="75">
        <f t="shared" si="2"/>
        <v>94.320000000000007</v>
      </c>
      <c r="L12" s="75">
        <f t="shared" si="3"/>
        <v>5329.08</v>
      </c>
      <c r="M12" s="67">
        <v>5329</v>
      </c>
      <c r="N12" s="65" t="s">
        <v>852</v>
      </c>
      <c r="O12" s="14" t="s">
        <v>44</v>
      </c>
      <c r="P12" s="14" t="s">
        <v>45</v>
      </c>
    </row>
    <row r="13" spans="1:16" x14ac:dyDescent="0.2">
      <c r="A13" s="65" t="s">
        <v>769</v>
      </c>
      <c r="B13" s="65"/>
      <c r="C13" s="65"/>
      <c r="D13" s="122"/>
      <c r="E13" s="66" t="s">
        <v>775</v>
      </c>
      <c r="F13" s="75">
        <f t="shared" si="0"/>
        <v>10074</v>
      </c>
      <c r="G13" s="67">
        <v>8760</v>
      </c>
      <c r="H13" s="75">
        <f t="shared" si="4"/>
        <v>1314</v>
      </c>
      <c r="I13" s="65"/>
      <c r="J13" s="66"/>
      <c r="K13" s="75">
        <f t="shared" ref="K13" si="5">G13*2%</f>
        <v>175.20000000000002</v>
      </c>
      <c r="L13" s="75">
        <f t="shared" ref="L13" si="6">F13-K13</f>
        <v>9898.7999999999993</v>
      </c>
      <c r="M13" s="67">
        <v>9899</v>
      </c>
      <c r="N13" s="65" t="s">
        <v>852</v>
      </c>
      <c r="O13" s="14" t="s">
        <v>44</v>
      </c>
      <c r="P13" s="14" t="s">
        <v>45</v>
      </c>
    </row>
    <row r="14" spans="1:16" x14ac:dyDescent="0.2">
      <c r="A14" s="28"/>
      <c r="B14" s="28"/>
      <c r="C14" s="28"/>
      <c r="D14" s="29"/>
      <c r="E14" s="70"/>
      <c r="F14" s="44">
        <f t="shared" si="0"/>
        <v>0</v>
      </c>
      <c r="G14" s="30"/>
      <c r="H14" s="44">
        <f t="shared" si="4"/>
        <v>0</v>
      </c>
      <c r="I14" s="28"/>
      <c r="J14" s="70"/>
      <c r="K14" s="44">
        <f t="shared" si="2"/>
        <v>0</v>
      </c>
      <c r="L14" s="44">
        <f t="shared" si="3"/>
        <v>0</v>
      </c>
      <c r="M14" s="30"/>
      <c r="N14" s="28"/>
      <c r="O14" s="28"/>
      <c r="P14" s="43"/>
    </row>
    <row r="16" spans="1:16" ht="23.25" x14ac:dyDescent="0.35">
      <c r="E16" s="46" t="s">
        <v>38</v>
      </c>
      <c r="F16" s="33">
        <f>SUM(F2:F14)</f>
        <v>380494.95000000007</v>
      </c>
      <c r="G16" s="33">
        <f t="shared" ref="G16:M16" si="7">SUM(G2:G14)</f>
        <v>330959</v>
      </c>
      <c r="H16" s="33">
        <f t="shared" si="7"/>
        <v>49535.95</v>
      </c>
      <c r="I16" s="34"/>
      <c r="J16" s="34"/>
      <c r="K16" s="33">
        <f t="shared" si="7"/>
        <v>6619.1799999999994</v>
      </c>
      <c r="L16" s="33">
        <f t="shared" si="7"/>
        <v>373875.77</v>
      </c>
      <c r="M16" s="33">
        <f t="shared" si="7"/>
        <v>373875</v>
      </c>
    </row>
    <row r="17" spans="5:14" ht="18.75" x14ac:dyDescent="0.3">
      <c r="E17" s="48" t="s">
        <v>39</v>
      </c>
    </row>
    <row r="19" spans="5:14" x14ac:dyDescent="0.2">
      <c r="N19" s="39">
        <f>F6*2%</f>
        <v>1417.03</v>
      </c>
    </row>
    <row r="20" spans="5:14" x14ac:dyDescent="0.2">
      <c r="N20" s="42">
        <f>F6-N19</f>
        <v>69434.47</v>
      </c>
    </row>
  </sheetData>
  <hyperlinks>
    <hyperlink ref="E16" location="HOME!A1" display="HOME" xr:uid="{00000000-0004-0000-0C00-000000000000}"/>
    <hyperlink ref="E17" location="MONTHWISE!A1" display="Monthwise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>
      <selection activeCell="E14" sqref="E14"/>
    </sheetView>
  </sheetViews>
  <sheetFormatPr defaultColWidth="9.140625" defaultRowHeight="12.75" x14ac:dyDescent="0.2"/>
  <cols>
    <col min="1" max="1" width="12.28515625" style="39" bestFit="1" customWidth="1"/>
    <col min="2" max="2" width="5.5703125" style="39" bestFit="1" customWidth="1"/>
    <col min="3" max="3" width="8.7109375" style="39" bestFit="1" customWidth="1"/>
    <col min="4" max="4" width="5.5703125" style="123" bestFit="1" customWidth="1"/>
    <col min="5" max="5" width="23.140625" style="71" bestFit="1" customWidth="1"/>
    <col min="6" max="6" width="10.42578125" style="42" bestFit="1" customWidth="1"/>
    <col min="7" max="7" width="9.28515625" style="32" bestFit="1" customWidth="1"/>
    <col min="8" max="8" width="8.7109375" style="42" bestFit="1" customWidth="1"/>
    <col min="9" max="9" width="10.7109375" style="39" bestFit="1" customWidth="1"/>
    <col min="10" max="10" width="7.42578125" style="71" bestFit="1" customWidth="1"/>
    <col min="11" max="11" width="6.5703125" style="32" bestFit="1" customWidth="1"/>
    <col min="12" max="12" width="12.140625" style="42" bestFit="1" customWidth="1"/>
    <col min="13" max="13" width="13.5703125" style="42" bestFit="1" customWidth="1"/>
    <col min="14" max="14" width="14.85546875" style="39" bestFit="1" customWidth="1"/>
    <col min="15" max="15" width="5.5703125" style="39" bestFit="1" customWidth="1"/>
    <col min="16" max="16" width="11.7109375" style="39" bestFit="1" customWidth="1"/>
    <col min="17" max="16384" width="9.140625" style="39"/>
  </cols>
  <sheetData>
    <row r="1" spans="1:16" x14ac:dyDescent="0.2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">
      <c r="A2" s="238" t="s">
        <v>711</v>
      </c>
      <c r="B2" s="238"/>
      <c r="C2" s="238"/>
      <c r="D2" s="239"/>
      <c r="E2" s="240" t="s">
        <v>712</v>
      </c>
      <c r="F2" s="241">
        <f t="shared" ref="F2:F12" si="0">SUM(G2:H2)</f>
        <v>417875.5</v>
      </c>
      <c r="G2" s="242">
        <v>363370</v>
      </c>
      <c r="H2" s="241">
        <f>G2*15%</f>
        <v>54505.5</v>
      </c>
      <c r="I2" s="238"/>
      <c r="J2" s="240"/>
      <c r="K2" s="241">
        <f t="shared" ref="K2:K12" si="1">G2*2%</f>
        <v>7267.4000000000005</v>
      </c>
      <c r="L2" s="241">
        <f t="shared" ref="L2:L12" si="2">F2-K2</f>
        <v>410608.1</v>
      </c>
      <c r="M2" s="242"/>
      <c r="N2" s="238"/>
      <c r="O2" s="243"/>
      <c r="P2" s="243"/>
    </row>
    <row r="3" spans="1:16" x14ac:dyDescent="0.2">
      <c r="A3" s="65"/>
      <c r="B3" s="65"/>
      <c r="C3" s="65"/>
      <c r="D3" s="122"/>
      <c r="E3" s="66" t="s">
        <v>712</v>
      </c>
      <c r="F3" s="75">
        <f t="shared" si="0"/>
        <v>3105</v>
      </c>
      <c r="G3" s="67">
        <v>2700</v>
      </c>
      <c r="H3" s="75">
        <f t="shared" ref="H3:H12" si="3">G3*15%</f>
        <v>405</v>
      </c>
      <c r="I3" s="65"/>
      <c r="J3" s="66"/>
      <c r="K3" s="75">
        <f t="shared" si="1"/>
        <v>54</v>
      </c>
      <c r="L3" s="75">
        <f t="shared" si="2"/>
        <v>3051</v>
      </c>
      <c r="M3" s="67">
        <v>3051</v>
      </c>
      <c r="N3" s="65" t="s">
        <v>870</v>
      </c>
      <c r="O3" s="10" t="s">
        <v>44</v>
      </c>
      <c r="P3" s="68" t="s">
        <v>122</v>
      </c>
    </row>
    <row r="4" spans="1:16" x14ac:dyDescent="0.2">
      <c r="A4" s="65"/>
      <c r="B4" s="65"/>
      <c r="C4" s="65" t="s">
        <v>149</v>
      </c>
      <c r="D4" s="122" t="s">
        <v>95</v>
      </c>
      <c r="E4" s="66" t="s">
        <v>868</v>
      </c>
      <c r="F4" s="75">
        <f t="shared" si="0"/>
        <v>176439.9</v>
      </c>
      <c r="G4" s="67">
        <v>153426</v>
      </c>
      <c r="H4" s="75">
        <f t="shared" si="3"/>
        <v>23013.899999999998</v>
      </c>
      <c r="I4" s="65"/>
      <c r="J4" s="66"/>
      <c r="K4" s="75">
        <f t="shared" si="1"/>
        <v>3068.52</v>
      </c>
      <c r="L4" s="75">
        <f t="shared" si="2"/>
        <v>173371.38</v>
      </c>
      <c r="M4" s="67">
        <v>173371</v>
      </c>
      <c r="N4" s="65" t="s">
        <v>879</v>
      </c>
      <c r="O4" s="10" t="s">
        <v>44</v>
      </c>
      <c r="P4" s="68" t="s">
        <v>122</v>
      </c>
    </row>
    <row r="5" spans="1:16" x14ac:dyDescent="0.2">
      <c r="A5" s="65"/>
      <c r="B5" s="65"/>
      <c r="C5" s="65"/>
      <c r="D5" s="122" t="s">
        <v>84</v>
      </c>
      <c r="E5" s="66" t="s">
        <v>869</v>
      </c>
      <c r="F5" s="75">
        <f t="shared" si="0"/>
        <v>49473</v>
      </c>
      <c r="G5" s="67">
        <v>43020</v>
      </c>
      <c r="H5" s="75">
        <f t="shared" si="3"/>
        <v>6453</v>
      </c>
      <c r="I5" s="65"/>
      <c r="J5" s="66"/>
      <c r="K5" s="75">
        <f t="shared" si="1"/>
        <v>860.4</v>
      </c>
      <c r="L5" s="75">
        <f t="shared" si="2"/>
        <v>48612.6</v>
      </c>
      <c r="M5" s="67">
        <v>48613</v>
      </c>
      <c r="N5" s="65" t="s">
        <v>870</v>
      </c>
      <c r="O5" s="10" t="s">
        <v>44</v>
      </c>
      <c r="P5" s="68" t="s">
        <v>122</v>
      </c>
    </row>
    <row r="6" spans="1:16" x14ac:dyDescent="0.2">
      <c r="A6" s="20"/>
      <c r="B6" s="20"/>
      <c r="C6" s="20"/>
      <c r="D6" s="21"/>
      <c r="E6" s="69"/>
      <c r="F6" s="44">
        <f t="shared" si="0"/>
        <v>0</v>
      </c>
      <c r="G6" s="22"/>
      <c r="H6" s="44">
        <f t="shared" si="3"/>
        <v>0</v>
      </c>
      <c r="I6" s="20"/>
      <c r="J6" s="69"/>
      <c r="K6" s="44">
        <f t="shared" si="1"/>
        <v>0</v>
      </c>
      <c r="L6" s="44">
        <f t="shared" si="2"/>
        <v>0</v>
      </c>
      <c r="M6" s="22"/>
      <c r="N6" s="20"/>
      <c r="O6" s="20"/>
      <c r="P6" s="121"/>
    </row>
    <row r="7" spans="1:16" x14ac:dyDescent="0.2">
      <c r="A7" s="20"/>
      <c r="B7" s="20"/>
      <c r="C7" s="20"/>
      <c r="D7" s="21"/>
      <c r="E7" s="69"/>
      <c r="F7" s="44">
        <f t="shared" si="0"/>
        <v>0</v>
      </c>
      <c r="G7" s="22"/>
      <c r="H7" s="44">
        <f t="shared" si="3"/>
        <v>0</v>
      </c>
      <c r="I7" s="20"/>
      <c r="J7" s="69"/>
      <c r="K7" s="44">
        <f t="shared" si="1"/>
        <v>0</v>
      </c>
      <c r="L7" s="44">
        <f t="shared" si="2"/>
        <v>0</v>
      </c>
      <c r="M7" s="22"/>
      <c r="N7" s="20"/>
      <c r="O7" s="17"/>
      <c r="P7" s="17"/>
    </row>
    <row r="8" spans="1:16" x14ac:dyDescent="0.2">
      <c r="A8" s="20"/>
      <c r="B8" s="20"/>
      <c r="C8" s="20"/>
      <c r="D8" s="21"/>
      <c r="E8" s="69"/>
      <c r="F8" s="44">
        <f t="shared" si="0"/>
        <v>0</v>
      </c>
      <c r="G8" s="22"/>
      <c r="H8" s="44">
        <f t="shared" si="3"/>
        <v>0</v>
      </c>
      <c r="I8" s="20"/>
      <c r="J8" s="69"/>
      <c r="K8" s="44">
        <f t="shared" si="1"/>
        <v>0</v>
      </c>
      <c r="L8" s="44">
        <f t="shared" si="2"/>
        <v>0</v>
      </c>
      <c r="M8" s="22"/>
      <c r="N8" s="20"/>
      <c r="O8" s="17"/>
      <c r="P8" s="17"/>
    </row>
    <row r="9" spans="1:16" x14ac:dyDescent="0.2">
      <c r="A9" s="20"/>
      <c r="B9" s="20"/>
      <c r="C9" s="20"/>
      <c r="D9" s="21"/>
      <c r="E9" s="69"/>
      <c r="F9" s="44">
        <f t="shared" si="0"/>
        <v>0</v>
      </c>
      <c r="G9" s="22"/>
      <c r="H9" s="44">
        <f t="shared" si="3"/>
        <v>0</v>
      </c>
      <c r="I9" s="40"/>
      <c r="J9" s="69"/>
      <c r="K9" s="44">
        <f t="shared" si="1"/>
        <v>0</v>
      </c>
      <c r="L9" s="44">
        <f t="shared" si="2"/>
        <v>0</v>
      </c>
      <c r="M9" s="22"/>
      <c r="N9" s="20"/>
      <c r="O9" s="20"/>
      <c r="P9" s="121"/>
    </row>
    <row r="10" spans="1:16" x14ac:dyDescent="0.2">
      <c r="A10" s="20"/>
      <c r="B10" s="20"/>
      <c r="C10" s="20"/>
      <c r="D10" s="21"/>
      <c r="E10" s="69"/>
      <c r="F10" s="44">
        <f t="shared" si="0"/>
        <v>0</v>
      </c>
      <c r="G10" s="22"/>
      <c r="H10" s="44">
        <f t="shared" si="3"/>
        <v>0</v>
      </c>
      <c r="I10" s="40"/>
      <c r="J10" s="69"/>
      <c r="K10" s="44">
        <f t="shared" si="1"/>
        <v>0</v>
      </c>
      <c r="L10" s="44">
        <f t="shared" si="2"/>
        <v>0</v>
      </c>
      <c r="M10" s="22"/>
      <c r="N10" s="20"/>
      <c r="O10" s="20"/>
      <c r="P10" s="121"/>
    </row>
    <row r="11" spans="1:16" x14ac:dyDescent="0.2">
      <c r="A11" s="20"/>
      <c r="B11" s="20"/>
      <c r="C11" s="20"/>
      <c r="D11" s="21"/>
      <c r="E11" s="69"/>
      <c r="F11" s="44">
        <f t="shared" si="0"/>
        <v>0</v>
      </c>
      <c r="G11" s="22"/>
      <c r="H11" s="44">
        <f t="shared" si="3"/>
        <v>0</v>
      </c>
      <c r="I11" s="20"/>
      <c r="J11" s="69"/>
      <c r="K11" s="44">
        <f t="shared" si="1"/>
        <v>0</v>
      </c>
      <c r="L11" s="44">
        <f t="shared" si="2"/>
        <v>0</v>
      </c>
      <c r="M11" s="22"/>
      <c r="N11" s="20"/>
      <c r="O11" s="20"/>
      <c r="P11" s="121"/>
    </row>
    <row r="12" spans="1:16" x14ac:dyDescent="0.2">
      <c r="A12" s="28"/>
      <c r="B12" s="28"/>
      <c r="C12" s="28"/>
      <c r="D12" s="29"/>
      <c r="E12" s="70"/>
      <c r="F12" s="44">
        <f t="shared" si="0"/>
        <v>0</v>
      </c>
      <c r="G12" s="30"/>
      <c r="H12" s="44">
        <f t="shared" si="3"/>
        <v>0</v>
      </c>
      <c r="I12" s="28"/>
      <c r="J12" s="70"/>
      <c r="K12" s="44">
        <f t="shared" si="1"/>
        <v>0</v>
      </c>
      <c r="L12" s="44">
        <f t="shared" si="2"/>
        <v>0</v>
      </c>
      <c r="M12" s="30"/>
      <c r="N12" s="28"/>
      <c r="O12" s="28"/>
      <c r="P12" s="43"/>
    </row>
    <row r="14" spans="1:16" ht="23.25" x14ac:dyDescent="0.35">
      <c r="E14" s="46" t="s">
        <v>38</v>
      </c>
      <c r="F14" s="33">
        <f>SUM(F2:F12)</f>
        <v>646893.4</v>
      </c>
      <c r="G14" s="33">
        <f t="shared" ref="G14:M14" si="4">SUM(G2:G12)</f>
        <v>562516</v>
      </c>
      <c r="H14" s="33">
        <f t="shared" si="4"/>
        <v>84377.4</v>
      </c>
      <c r="I14" s="34"/>
      <c r="J14" s="34"/>
      <c r="K14" s="33">
        <f t="shared" si="4"/>
        <v>11250.32</v>
      </c>
      <c r="L14" s="33">
        <f t="shared" si="4"/>
        <v>635643.07999999996</v>
      </c>
      <c r="M14" s="33">
        <f t="shared" si="4"/>
        <v>225035</v>
      </c>
    </row>
    <row r="15" spans="1:16" ht="18.75" x14ac:dyDescent="0.3">
      <c r="E15" s="48" t="s">
        <v>39</v>
      </c>
    </row>
    <row r="17" spans="14:14" x14ac:dyDescent="0.2">
      <c r="N17" s="39" t="e">
        <f>#REF!*2%</f>
        <v>#REF!</v>
      </c>
    </row>
    <row r="18" spans="14:14" x14ac:dyDescent="0.2">
      <c r="N18" s="42" t="e">
        <f>#REF!-N17</f>
        <v>#REF!</v>
      </c>
    </row>
  </sheetData>
  <hyperlinks>
    <hyperlink ref="E14" location="HOME!A1" display="HOME" xr:uid="{00000000-0004-0000-0D00-000000000000}"/>
    <hyperlink ref="E15" location="MONTHWISE!A1" display="Monthwise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6"/>
  <sheetViews>
    <sheetView workbookViewId="0">
      <selection activeCell="E15" sqref="E15"/>
    </sheetView>
  </sheetViews>
  <sheetFormatPr defaultRowHeight="15" x14ac:dyDescent="0.25"/>
  <cols>
    <col min="1" max="1" width="12.285156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3.140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5703125" bestFit="1" customWidth="1"/>
    <col min="16" max="16" width="11.7109375" bestFit="1" customWidth="1"/>
  </cols>
  <sheetData>
    <row r="1" spans="1:16" x14ac:dyDescent="0.25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5">
      <c r="A2" s="65" t="s">
        <v>514</v>
      </c>
      <c r="B2" s="65"/>
      <c r="C2" s="65"/>
      <c r="D2" s="122"/>
      <c r="E2" s="66" t="s">
        <v>515</v>
      </c>
      <c r="F2" s="75">
        <f>SUM(G2:H2)</f>
        <v>27418.3</v>
      </c>
      <c r="G2" s="67">
        <v>23842</v>
      </c>
      <c r="H2" s="75">
        <f>G2*15%</f>
        <v>3576.2999999999997</v>
      </c>
      <c r="I2" s="65"/>
      <c r="J2" s="66"/>
      <c r="K2" s="75">
        <f>G2*2%</f>
        <v>476.84000000000003</v>
      </c>
      <c r="L2" s="75">
        <f>F2-K2</f>
        <v>26941.46</v>
      </c>
      <c r="M2" s="67">
        <v>26941</v>
      </c>
      <c r="N2" s="65" t="s">
        <v>556</v>
      </c>
      <c r="O2" s="14" t="s">
        <v>44</v>
      </c>
      <c r="P2" s="14" t="s">
        <v>45</v>
      </c>
    </row>
    <row r="3" spans="1:16" x14ac:dyDescent="0.25">
      <c r="A3" s="65" t="s">
        <v>669</v>
      </c>
      <c r="B3" s="65"/>
      <c r="C3" s="65"/>
      <c r="D3" s="122"/>
      <c r="E3" s="66" t="s">
        <v>688</v>
      </c>
      <c r="F3" s="75">
        <f t="shared" ref="F3:F13" si="0">SUM(G3:H3)</f>
        <v>7417.5</v>
      </c>
      <c r="G3" s="67">
        <v>6450</v>
      </c>
      <c r="H3" s="75">
        <f t="shared" ref="H3:H13" si="1">G3*15%</f>
        <v>967.5</v>
      </c>
      <c r="I3" s="65"/>
      <c r="J3" s="66"/>
      <c r="K3" s="75">
        <f t="shared" ref="K3:K13" si="2">G3*2%</f>
        <v>129</v>
      </c>
      <c r="L3" s="75">
        <f t="shared" ref="L3:L13" si="3">F3-K3</f>
        <v>7288.5</v>
      </c>
      <c r="M3" s="67">
        <v>7289</v>
      </c>
      <c r="N3" s="65" t="s">
        <v>860</v>
      </c>
      <c r="O3" s="10" t="s">
        <v>44</v>
      </c>
      <c r="P3" s="68" t="s">
        <v>122</v>
      </c>
    </row>
    <row r="4" spans="1:16" x14ac:dyDescent="0.25">
      <c r="A4" s="20"/>
      <c r="B4" s="20"/>
      <c r="C4" s="20"/>
      <c r="D4" s="21"/>
      <c r="E4" s="69"/>
      <c r="F4" s="44">
        <f t="shared" si="0"/>
        <v>0</v>
      </c>
      <c r="G4" s="22"/>
      <c r="H4" s="44">
        <f t="shared" si="1"/>
        <v>0</v>
      </c>
      <c r="I4" s="20"/>
      <c r="J4" s="69"/>
      <c r="K4" s="44">
        <f t="shared" si="2"/>
        <v>0</v>
      </c>
      <c r="L4" s="44">
        <f t="shared" si="3"/>
        <v>0</v>
      </c>
      <c r="M4" s="22"/>
      <c r="N4" s="20"/>
      <c r="O4" s="17"/>
      <c r="P4" s="17"/>
    </row>
    <row r="5" spans="1:16" x14ac:dyDescent="0.25">
      <c r="A5" s="20"/>
      <c r="B5" s="20"/>
      <c r="C5" s="20"/>
      <c r="D5" s="21"/>
      <c r="E5" s="69"/>
      <c r="F5" s="44">
        <f t="shared" si="0"/>
        <v>0</v>
      </c>
      <c r="G5" s="22"/>
      <c r="H5" s="44">
        <f t="shared" si="1"/>
        <v>0</v>
      </c>
      <c r="I5" s="20"/>
      <c r="J5" s="69"/>
      <c r="K5" s="44">
        <f t="shared" si="2"/>
        <v>0</v>
      </c>
      <c r="L5" s="44">
        <f t="shared" si="3"/>
        <v>0</v>
      </c>
      <c r="M5" s="22"/>
      <c r="N5" s="20"/>
      <c r="O5" s="17"/>
      <c r="P5" s="17"/>
    </row>
    <row r="6" spans="1:16" x14ac:dyDescent="0.25">
      <c r="A6" s="20"/>
      <c r="B6" s="20"/>
      <c r="C6" s="20"/>
      <c r="D6" s="21"/>
      <c r="E6" s="69"/>
      <c r="F6" s="44">
        <f t="shared" si="0"/>
        <v>0</v>
      </c>
      <c r="G6" s="22"/>
      <c r="H6" s="44">
        <f t="shared" si="1"/>
        <v>0</v>
      </c>
      <c r="I6" s="20"/>
      <c r="J6" s="69"/>
      <c r="K6" s="44">
        <f t="shared" si="2"/>
        <v>0</v>
      </c>
      <c r="L6" s="44">
        <f t="shared" si="3"/>
        <v>0</v>
      </c>
      <c r="M6" s="22"/>
      <c r="N6" s="20"/>
      <c r="O6" s="17"/>
      <c r="P6" s="17"/>
    </row>
    <row r="7" spans="1:16" x14ac:dyDescent="0.25">
      <c r="A7" s="20"/>
      <c r="B7" s="20"/>
      <c r="C7" s="20"/>
      <c r="D7" s="21"/>
      <c r="E7" s="69"/>
      <c r="F7" s="44">
        <f t="shared" si="0"/>
        <v>0</v>
      </c>
      <c r="G7" s="22"/>
      <c r="H7" s="44">
        <f t="shared" si="1"/>
        <v>0</v>
      </c>
      <c r="I7" s="20"/>
      <c r="J7" s="69"/>
      <c r="K7" s="44">
        <f t="shared" si="2"/>
        <v>0</v>
      </c>
      <c r="L7" s="44">
        <f t="shared" si="3"/>
        <v>0</v>
      </c>
      <c r="M7" s="22"/>
      <c r="N7" s="20"/>
      <c r="O7" s="20"/>
      <c r="P7" s="121"/>
    </row>
    <row r="8" spans="1:16" x14ac:dyDescent="0.25">
      <c r="A8" s="20"/>
      <c r="B8" s="20"/>
      <c r="C8" s="20"/>
      <c r="D8" s="21"/>
      <c r="E8" s="69"/>
      <c r="F8" s="44">
        <f t="shared" si="0"/>
        <v>0</v>
      </c>
      <c r="G8" s="22"/>
      <c r="H8" s="44">
        <f t="shared" si="1"/>
        <v>0</v>
      </c>
      <c r="I8" s="20"/>
      <c r="J8" s="69"/>
      <c r="K8" s="44">
        <f t="shared" si="2"/>
        <v>0</v>
      </c>
      <c r="L8" s="44">
        <f t="shared" si="3"/>
        <v>0</v>
      </c>
      <c r="M8" s="22"/>
      <c r="N8" s="20"/>
      <c r="O8" s="20"/>
      <c r="P8" s="121"/>
    </row>
    <row r="9" spans="1:16" x14ac:dyDescent="0.25">
      <c r="A9" s="20"/>
      <c r="B9" s="20"/>
      <c r="C9" s="20"/>
      <c r="D9" s="21"/>
      <c r="E9" s="69"/>
      <c r="F9" s="44">
        <f t="shared" si="0"/>
        <v>0</v>
      </c>
      <c r="G9" s="22"/>
      <c r="H9" s="44">
        <f t="shared" si="1"/>
        <v>0</v>
      </c>
      <c r="I9" s="20"/>
      <c r="J9" s="69"/>
      <c r="K9" s="44">
        <f t="shared" si="2"/>
        <v>0</v>
      </c>
      <c r="L9" s="44">
        <f t="shared" si="3"/>
        <v>0</v>
      </c>
      <c r="M9" s="22"/>
      <c r="N9" s="20"/>
      <c r="O9" s="20"/>
      <c r="P9" s="121"/>
    </row>
    <row r="10" spans="1:16" x14ac:dyDescent="0.25">
      <c r="A10" s="20"/>
      <c r="B10" s="20"/>
      <c r="C10" s="20"/>
      <c r="D10" s="21"/>
      <c r="E10" s="69"/>
      <c r="F10" s="44">
        <f t="shared" si="0"/>
        <v>0</v>
      </c>
      <c r="G10" s="22"/>
      <c r="H10" s="44">
        <f t="shared" si="1"/>
        <v>0</v>
      </c>
      <c r="I10" s="40"/>
      <c r="J10" s="69"/>
      <c r="K10" s="44">
        <f t="shared" si="2"/>
        <v>0</v>
      </c>
      <c r="L10" s="44">
        <f t="shared" si="3"/>
        <v>0</v>
      </c>
      <c r="M10" s="22"/>
      <c r="N10" s="20"/>
      <c r="O10" s="20"/>
      <c r="P10" s="121"/>
    </row>
    <row r="11" spans="1:16" x14ac:dyDescent="0.25">
      <c r="A11" s="20"/>
      <c r="B11" s="20"/>
      <c r="C11" s="20"/>
      <c r="D11" s="21"/>
      <c r="E11" s="69"/>
      <c r="F11" s="44">
        <f t="shared" si="0"/>
        <v>0</v>
      </c>
      <c r="G11" s="22"/>
      <c r="H11" s="44">
        <f t="shared" si="1"/>
        <v>0</v>
      </c>
      <c r="I11" s="40"/>
      <c r="J11" s="69"/>
      <c r="K11" s="44">
        <f t="shared" si="2"/>
        <v>0</v>
      </c>
      <c r="L11" s="44">
        <f t="shared" si="3"/>
        <v>0</v>
      </c>
      <c r="M11" s="22"/>
      <c r="N11" s="20"/>
      <c r="O11" s="20"/>
      <c r="P11" s="121"/>
    </row>
    <row r="12" spans="1:16" x14ac:dyDescent="0.25">
      <c r="A12" s="20"/>
      <c r="B12" s="20"/>
      <c r="C12" s="20"/>
      <c r="D12" s="21"/>
      <c r="E12" s="69"/>
      <c r="F12" s="44">
        <f t="shared" si="0"/>
        <v>0</v>
      </c>
      <c r="G12" s="22"/>
      <c r="H12" s="44">
        <f t="shared" si="1"/>
        <v>0</v>
      </c>
      <c r="I12" s="20"/>
      <c r="J12" s="69"/>
      <c r="K12" s="44">
        <f t="shared" si="2"/>
        <v>0</v>
      </c>
      <c r="L12" s="44">
        <f t="shared" si="3"/>
        <v>0</v>
      </c>
      <c r="M12" s="22"/>
      <c r="N12" s="20"/>
      <c r="O12" s="20"/>
      <c r="P12" s="121"/>
    </row>
    <row r="13" spans="1:16" x14ac:dyDescent="0.25">
      <c r="A13" s="28"/>
      <c r="B13" s="28"/>
      <c r="C13" s="28"/>
      <c r="D13" s="29"/>
      <c r="E13" s="70"/>
      <c r="F13" s="44">
        <f t="shared" si="0"/>
        <v>0</v>
      </c>
      <c r="G13" s="30"/>
      <c r="H13" s="44">
        <f t="shared" si="1"/>
        <v>0</v>
      </c>
      <c r="I13" s="28"/>
      <c r="J13" s="70"/>
      <c r="K13" s="44">
        <f t="shared" si="2"/>
        <v>0</v>
      </c>
      <c r="L13" s="44">
        <f t="shared" si="3"/>
        <v>0</v>
      </c>
      <c r="M13" s="30"/>
      <c r="N13" s="28"/>
      <c r="O13" s="28"/>
      <c r="P13" s="43"/>
    </row>
    <row r="14" spans="1:16" x14ac:dyDescent="0.25">
      <c r="A14" s="39"/>
      <c r="B14" s="39"/>
      <c r="C14" s="39"/>
      <c r="D14" s="123"/>
      <c r="E14" s="71"/>
      <c r="F14" s="42"/>
      <c r="G14" s="32"/>
      <c r="H14" s="42"/>
      <c r="I14" s="39"/>
      <c r="J14" s="71"/>
      <c r="K14" s="32"/>
      <c r="L14" s="42"/>
      <c r="M14" s="42"/>
      <c r="N14" s="39"/>
      <c r="O14" s="39"/>
      <c r="P14" s="39"/>
    </row>
    <row r="15" spans="1:16" ht="23.25" x14ac:dyDescent="0.35">
      <c r="A15" s="39"/>
      <c r="B15" s="39"/>
      <c r="C15" s="39"/>
      <c r="D15" s="123"/>
      <c r="E15" s="46" t="s">
        <v>38</v>
      </c>
      <c r="F15" s="33">
        <f>SUM(F2:F13)</f>
        <v>34835.800000000003</v>
      </c>
      <c r="G15" s="33">
        <f t="shared" ref="G15:M15" si="4">SUM(G2:G13)</f>
        <v>30292</v>
      </c>
      <c r="H15" s="33">
        <f t="shared" si="4"/>
        <v>4543.7999999999993</v>
      </c>
      <c r="I15" s="34"/>
      <c r="J15" s="34"/>
      <c r="K15" s="33">
        <f t="shared" si="4"/>
        <v>605.84</v>
      </c>
      <c r="L15" s="33">
        <f t="shared" si="4"/>
        <v>34229.96</v>
      </c>
      <c r="M15" s="33">
        <f t="shared" si="4"/>
        <v>34230</v>
      </c>
      <c r="N15" s="39"/>
      <c r="O15" s="39"/>
      <c r="P15" s="39"/>
    </row>
    <row r="16" spans="1:16" ht="18.75" x14ac:dyDescent="0.3">
      <c r="A16" s="39"/>
      <c r="B16" s="39"/>
      <c r="C16" s="39"/>
      <c r="D16" s="123"/>
      <c r="E16" s="48" t="s">
        <v>39</v>
      </c>
      <c r="F16" s="42"/>
      <c r="G16" s="32"/>
      <c r="H16" s="42"/>
      <c r="I16" s="39"/>
      <c r="J16" s="71"/>
      <c r="K16" s="32"/>
      <c r="L16" s="42"/>
      <c r="M16" s="42"/>
      <c r="N16" s="39"/>
      <c r="O16" s="39"/>
      <c r="P16" s="39"/>
    </row>
  </sheetData>
  <hyperlinks>
    <hyperlink ref="E15" location="HOME!A1" display="HOME" xr:uid="{00000000-0004-0000-0E00-000000000000}"/>
    <hyperlink ref="E16" location="MONTHWISE!A1" display="Monthwise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P16"/>
  <sheetViews>
    <sheetView workbookViewId="0">
      <selection activeCell="E15" sqref="E15"/>
    </sheetView>
  </sheetViews>
  <sheetFormatPr defaultRowHeight="15" x14ac:dyDescent="0.25"/>
  <cols>
    <col min="1" max="1" width="12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3.140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8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5">
      <c r="A2" s="65" t="s">
        <v>298</v>
      </c>
      <c r="B2" s="65"/>
      <c r="C2" s="65"/>
      <c r="D2" s="122"/>
      <c r="E2" s="66" t="s">
        <v>299</v>
      </c>
      <c r="F2" s="75">
        <f t="shared" ref="F2:F13" si="0">SUM(G2:H2)</f>
        <v>29907.4</v>
      </c>
      <c r="G2" s="67">
        <v>26120</v>
      </c>
      <c r="H2" s="75">
        <f t="shared" ref="H2" si="1">G2*14.5%</f>
        <v>3787.3999999999996</v>
      </c>
      <c r="I2" s="124">
        <v>42492</v>
      </c>
      <c r="J2" s="124">
        <f>I2+45</f>
        <v>42537</v>
      </c>
      <c r="K2" s="75">
        <f t="shared" ref="K2:K13" si="2">G2*2%</f>
        <v>522.4</v>
      </c>
      <c r="L2" s="75">
        <f t="shared" ref="L2:L13" si="3">F2-K2</f>
        <v>29385</v>
      </c>
      <c r="M2" s="67">
        <v>29907</v>
      </c>
      <c r="N2" s="65" t="s">
        <v>300</v>
      </c>
      <c r="O2" s="10" t="s">
        <v>44</v>
      </c>
      <c r="P2" s="68" t="s">
        <v>122</v>
      </c>
    </row>
    <row r="3" spans="1:16" x14ac:dyDescent="0.25">
      <c r="A3" s="65" t="s">
        <v>385</v>
      </c>
      <c r="B3" s="65"/>
      <c r="C3" s="65"/>
      <c r="D3" s="122"/>
      <c r="E3" s="66" t="s">
        <v>384</v>
      </c>
      <c r="F3" s="75">
        <f t="shared" si="0"/>
        <v>119521.8</v>
      </c>
      <c r="G3" s="67">
        <v>103932</v>
      </c>
      <c r="H3" s="75">
        <f>G3*15%</f>
        <v>15589.8</v>
      </c>
      <c r="I3" s="124">
        <v>42618</v>
      </c>
      <c r="J3" s="66" t="s">
        <v>153</v>
      </c>
      <c r="K3" s="75">
        <f t="shared" si="2"/>
        <v>2078.64</v>
      </c>
      <c r="L3" s="75">
        <f t="shared" si="3"/>
        <v>117443.16</v>
      </c>
      <c r="M3" s="67">
        <v>117443</v>
      </c>
      <c r="N3" s="65" t="s">
        <v>393</v>
      </c>
      <c r="O3" s="10" t="s">
        <v>44</v>
      </c>
      <c r="P3" s="68" t="s">
        <v>122</v>
      </c>
    </row>
    <row r="4" spans="1:16" x14ac:dyDescent="0.25">
      <c r="A4" s="20"/>
      <c r="B4" s="20"/>
      <c r="C4" s="20"/>
      <c r="D4" s="21"/>
      <c r="E4" s="69"/>
      <c r="F4" s="44">
        <f t="shared" si="0"/>
        <v>0</v>
      </c>
      <c r="G4" s="22"/>
      <c r="H4" s="44">
        <f t="shared" ref="H4:H13" si="4">G4*15%</f>
        <v>0</v>
      </c>
      <c r="I4" s="20"/>
      <c r="J4" s="69"/>
      <c r="K4" s="44">
        <f t="shared" si="2"/>
        <v>0</v>
      </c>
      <c r="L4" s="44">
        <f t="shared" si="3"/>
        <v>0</v>
      </c>
      <c r="M4" s="22"/>
      <c r="N4" s="20"/>
      <c r="O4" s="20"/>
      <c r="P4" s="121"/>
    </row>
    <row r="5" spans="1:16" x14ac:dyDescent="0.25">
      <c r="A5" s="20"/>
      <c r="B5" s="20"/>
      <c r="C5" s="20"/>
      <c r="D5" s="21"/>
      <c r="E5" s="69"/>
      <c r="F5" s="44">
        <f t="shared" si="0"/>
        <v>0</v>
      </c>
      <c r="G5" s="22"/>
      <c r="H5" s="44">
        <f t="shared" si="4"/>
        <v>0</v>
      </c>
      <c r="I5" s="20"/>
      <c r="J5" s="69"/>
      <c r="K5" s="44">
        <f t="shared" si="2"/>
        <v>0</v>
      </c>
      <c r="L5" s="44">
        <f t="shared" si="3"/>
        <v>0</v>
      </c>
      <c r="M5" s="22"/>
      <c r="N5" s="20"/>
      <c r="O5" s="20"/>
      <c r="P5" s="121"/>
    </row>
    <row r="6" spans="1:16" x14ac:dyDescent="0.25">
      <c r="A6" s="20"/>
      <c r="B6" s="20"/>
      <c r="C6" s="20"/>
      <c r="D6" s="21"/>
      <c r="E6" s="69"/>
      <c r="F6" s="44">
        <f t="shared" si="0"/>
        <v>0</v>
      </c>
      <c r="G6" s="22"/>
      <c r="H6" s="44">
        <f t="shared" si="4"/>
        <v>0</v>
      </c>
      <c r="I6" s="20"/>
      <c r="J6" s="69"/>
      <c r="K6" s="44">
        <f t="shared" si="2"/>
        <v>0</v>
      </c>
      <c r="L6" s="44">
        <f t="shared" si="3"/>
        <v>0</v>
      </c>
      <c r="M6" s="22"/>
      <c r="N6" s="20"/>
      <c r="O6" s="20"/>
      <c r="P6" s="121"/>
    </row>
    <row r="7" spans="1:16" x14ac:dyDescent="0.25">
      <c r="A7" s="20"/>
      <c r="B7" s="20"/>
      <c r="C7" s="20"/>
      <c r="D7" s="21"/>
      <c r="E7" s="69"/>
      <c r="F7" s="44">
        <f t="shared" si="0"/>
        <v>0</v>
      </c>
      <c r="G7" s="22"/>
      <c r="H7" s="44">
        <f t="shared" si="4"/>
        <v>0</v>
      </c>
      <c r="I7" s="20"/>
      <c r="J7" s="69"/>
      <c r="K7" s="44">
        <f t="shared" si="2"/>
        <v>0</v>
      </c>
      <c r="L7" s="44">
        <f t="shared" si="3"/>
        <v>0</v>
      </c>
      <c r="M7" s="22"/>
      <c r="N7" s="20"/>
      <c r="O7" s="20"/>
      <c r="P7" s="121"/>
    </row>
    <row r="8" spans="1:16" x14ac:dyDescent="0.25">
      <c r="A8" s="20"/>
      <c r="B8" s="20"/>
      <c r="C8" s="20"/>
      <c r="D8" s="21"/>
      <c r="E8" s="69"/>
      <c r="F8" s="44">
        <f t="shared" si="0"/>
        <v>0</v>
      </c>
      <c r="G8" s="22"/>
      <c r="H8" s="44">
        <f t="shared" si="4"/>
        <v>0</v>
      </c>
      <c r="I8" s="20"/>
      <c r="J8" s="69"/>
      <c r="K8" s="44">
        <f t="shared" si="2"/>
        <v>0</v>
      </c>
      <c r="L8" s="44">
        <f t="shared" si="3"/>
        <v>0</v>
      </c>
      <c r="M8" s="22"/>
      <c r="N8" s="20"/>
      <c r="O8" s="20"/>
      <c r="P8" s="121"/>
    </row>
    <row r="9" spans="1:16" x14ac:dyDescent="0.25">
      <c r="A9" s="20"/>
      <c r="B9" s="20"/>
      <c r="C9" s="20"/>
      <c r="D9" s="21"/>
      <c r="E9" s="69"/>
      <c r="F9" s="44">
        <f t="shared" si="0"/>
        <v>0</v>
      </c>
      <c r="G9" s="22"/>
      <c r="H9" s="44">
        <f t="shared" si="4"/>
        <v>0</v>
      </c>
      <c r="I9" s="20"/>
      <c r="J9" s="69"/>
      <c r="K9" s="44">
        <f t="shared" si="2"/>
        <v>0</v>
      </c>
      <c r="L9" s="44">
        <f t="shared" si="3"/>
        <v>0</v>
      </c>
      <c r="M9" s="22"/>
      <c r="N9" s="20"/>
      <c r="O9" s="20"/>
      <c r="P9" s="121"/>
    </row>
    <row r="10" spans="1:16" x14ac:dyDescent="0.25">
      <c r="A10" s="20"/>
      <c r="B10" s="20"/>
      <c r="C10" s="20"/>
      <c r="D10" s="21"/>
      <c r="E10" s="69"/>
      <c r="F10" s="44">
        <f t="shared" si="0"/>
        <v>0</v>
      </c>
      <c r="G10" s="22"/>
      <c r="H10" s="44">
        <f t="shared" si="4"/>
        <v>0</v>
      </c>
      <c r="I10" s="40"/>
      <c r="J10" s="69"/>
      <c r="K10" s="44">
        <f t="shared" si="2"/>
        <v>0</v>
      </c>
      <c r="L10" s="44">
        <f t="shared" si="3"/>
        <v>0</v>
      </c>
      <c r="M10" s="22"/>
      <c r="N10" s="20"/>
      <c r="O10" s="20"/>
      <c r="P10" s="121"/>
    </row>
    <row r="11" spans="1:16" x14ac:dyDescent="0.25">
      <c r="A11" s="20"/>
      <c r="B11" s="20"/>
      <c r="C11" s="20"/>
      <c r="D11" s="21"/>
      <c r="E11" s="69"/>
      <c r="F11" s="44">
        <f t="shared" si="0"/>
        <v>0</v>
      </c>
      <c r="G11" s="22"/>
      <c r="H11" s="44">
        <f t="shared" si="4"/>
        <v>0</v>
      </c>
      <c r="I11" s="40"/>
      <c r="J11" s="69"/>
      <c r="K11" s="44">
        <f t="shared" si="2"/>
        <v>0</v>
      </c>
      <c r="L11" s="44">
        <f t="shared" si="3"/>
        <v>0</v>
      </c>
      <c r="M11" s="22"/>
      <c r="N11" s="20"/>
      <c r="O11" s="20"/>
      <c r="P11" s="121"/>
    </row>
    <row r="12" spans="1:16" x14ac:dyDescent="0.25">
      <c r="A12" s="20"/>
      <c r="B12" s="20"/>
      <c r="C12" s="20"/>
      <c r="D12" s="21"/>
      <c r="E12" s="69"/>
      <c r="F12" s="44">
        <f t="shared" si="0"/>
        <v>0</v>
      </c>
      <c r="G12" s="22"/>
      <c r="H12" s="44">
        <f t="shared" si="4"/>
        <v>0</v>
      </c>
      <c r="I12" s="20"/>
      <c r="J12" s="69"/>
      <c r="K12" s="44">
        <f t="shared" si="2"/>
        <v>0</v>
      </c>
      <c r="L12" s="44">
        <f t="shared" si="3"/>
        <v>0</v>
      </c>
      <c r="M12" s="22"/>
      <c r="N12" s="20"/>
      <c r="O12" s="20"/>
      <c r="P12" s="121"/>
    </row>
    <row r="13" spans="1:16" x14ac:dyDescent="0.25">
      <c r="A13" s="28"/>
      <c r="B13" s="28"/>
      <c r="C13" s="28"/>
      <c r="D13" s="29"/>
      <c r="E13" s="70"/>
      <c r="F13" s="44">
        <f t="shared" si="0"/>
        <v>0</v>
      </c>
      <c r="G13" s="30"/>
      <c r="H13" s="44">
        <f t="shared" si="4"/>
        <v>0</v>
      </c>
      <c r="I13" s="28"/>
      <c r="J13" s="70"/>
      <c r="K13" s="44">
        <f t="shared" si="2"/>
        <v>0</v>
      </c>
      <c r="L13" s="44">
        <f t="shared" si="3"/>
        <v>0</v>
      </c>
      <c r="M13" s="30"/>
      <c r="N13" s="28"/>
      <c r="O13" s="28"/>
      <c r="P13" s="43"/>
    </row>
    <row r="14" spans="1:16" x14ac:dyDescent="0.25">
      <c r="A14" s="39"/>
      <c r="B14" s="39"/>
      <c r="C14" s="39"/>
      <c r="D14" s="123"/>
      <c r="E14" s="71"/>
      <c r="F14" s="42"/>
      <c r="G14" s="32"/>
      <c r="H14" s="42"/>
      <c r="I14" s="39"/>
      <c r="J14" s="71"/>
      <c r="K14" s="32"/>
      <c r="L14" s="42"/>
      <c r="M14" s="42"/>
      <c r="N14" s="39"/>
      <c r="O14" s="39"/>
      <c r="P14" s="39"/>
    </row>
    <row r="15" spans="1:16" ht="23.25" x14ac:dyDescent="0.35">
      <c r="A15" s="39"/>
      <c r="B15" s="39"/>
      <c r="C15" s="39"/>
      <c r="D15" s="123"/>
      <c r="E15" s="46" t="s">
        <v>38</v>
      </c>
      <c r="F15" s="33">
        <f>SUM(F2:F13)</f>
        <v>149429.20000000001</v>
      </c>
      <c r="G15" s="33">
        <f t="shared" ref="G15:M15" si="5">SUM(G2:G13)</f>
        <v>130052</v>
      </c>
      <c r="H15" s="33">
        <f t="shared" si="5"/>
        <v>19377.199999999997</v>
      </c>
      <c r="I15" s="34"/>
      <c r="J15" s="34"/>
      <c r="K15" s="33">
        <f t="shared" si="5"/>
        <v>2601.04</v>
      </c>
      <c r="L15" s="33">
        <f t="shared" si="5"/>
        <v>146828.16</v>
      </c>
      <c r="M15" s="33">
        <f t="shared" si="5"/>
        <v>147350</v>
      </c>
      <c r="N15" s="39"/>
      <c r="O15" s="39"/>
      <c r="P15" s="39"/>
    </row>
    <row r="16" spans="1:16" ht="18.75" x14ac:dyDescent="0.3">
      <c r="A16" s="39"/>
      <c r="B16" s="39"/>
      <c r="C16" s="39"/>
      <c r="D16" s="123"/>
      <c r="E16" s="48" t="s">
        <v>39</v>
      </c>
      <c r="F16" s="42"/>
      <c r="G16" s="32"/>
      <c r="H16" s="42"/>
      <c r="I16" s="39"/>
      <c r="J16" s="71"/>
      <c r="K16" s="32"/>
      <c r="L16" s="42"/>
      <c r="M16" s="42"/>
      <c r="N16" s="39"/>
      <c r="O16" s="39"/>
      <c r="P16" s="39"/>
    </row>
  </sheetData>
  <hyperlinks>
    <hyperlink ref="E15" location="HOME!A1" display="HOME" xr:uid="{00000000-0004-0000-0F00-000000000000}"/>
    <hyperlink ref="E16" location="MONTHWISE!A1" display="Monthwise" xr:uid="{00000000-0004-0000-0F00-000001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1:P20"/>
  <sheetViews>
    <sheetView workbookViewId="0">
      <selection activeCell="E16" sqref="E16"/>
    </sheetView>
  </sheetViews>
  <sheetFormatPr defaultRowHeight="15" x14ac:dyDescent="0.25"/>
  <cols>
    <col min="1" max="1" width="12.285156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4.28515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9.7109375" bestFit="1" customWidth="1"/>
  </cols>
  <sheetData>
    <row r="1" spans="1:16" x14ac:dyDescent="0.25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64" t="s">
        <v>37</v>
      </c>
    </row>
    <row r="2" spans="1:16" x14ac:dyDescent="0.25">
      <c r="A2" s="14" t="s">
        <v>301</v>
      </c>
      <c r="B2" s="14"/>
      <c r="C2" s="14"/>
      <c r="D2" s="14"/>
      <c r="E2" s="75" t="s">
        <v>302</v>
      </c>
      <c r="F2" s="75">
        <f t="shared" ref="F2:F14" si="0">SUM(G2:H2)</f>
        <v>1304.0999999999999</v>
      </c>
      <c r="G2" s="75">
        <v>1134</v>
      </c>
      <c r="H2" s="75">
        <f>G2*15%</f>
        <v>170.1</v>
      </c>
      <c r="I2" s="76"/>
      <c r="J2" s="76"/>
      <c r="K2" s="75">
        <f t="shared" ref="K2:K14" si="1">G2*2%</f>
        <v>22.68</v>
      </c>
      <c r="L2" s="75">
        <f t="shared" ref="L2:L14" si="2">F2-K2</f>
        <v>1281.4199999999998</v>
      </c>
      <c r="M2" s="14">
        <v>1242</v>
      </c>
      <c r="N2" s="14" t="s">
        <v>97</v>
      </c>
      <c r="O2" s="10" t="s">
        <v>44</v>
      </c>
      <c r="P2" s="68" t="s">
        <v>122</v>
      </c>
    </row>
    <row r="3" spans="1:16" x14ac:dyDescent="0.25">
      <c r="A3" s="14" t="s">
        <v>301</v>
      </c>
      <c r="B3" s="14"/>
      <c r="C3" s="14"/>
      <c r="D3" s="14"/>
      <c r="E3" s="75" t="s">
        <v>303</v>
      </c>
      <c r="F3" s="75">
        <f t="shared" si="0"/>
        <v>4168.75</v>
      </c>
      <c r="G3" s="75">
        <v>3625</v>
      </c>
      <c r="H3" s="75">
        <f t="shared" ref="H3:H14" si="3">G3*15%</f>
        <v>543.75</v>
      </c>
      <c r="I3" s="76"/>
      <c r="J3" s="76"/>
      <c r="K3" s="75">
        <f t="shared" si="1"/>
        <v>72.5</v>
      </c>
      <c r="L3" s="75">
        <f t="shared" si="2"/>
        <v>4096.25</v>
      </c>
      <c r="M3" s="14">
        <v>4058</v>
      </c>
      <c r="N3" s="14" t="s">
        <v>97</v>
      </c>
      <c r="O3" s="10" t="s">
        <v>44</v>
      </c>
      <c r="P3" s="68" t="s">
        <v>122</v>
      </c>
    </row>
    <row r="4" spans="1:16" x14ac:dyDescent="0.25">
      <c r="A4" s="14" t="s">
        <v>304</v>
      </c>
      <c r="B4" s="14"/>
      <c r="C4" s="14"/>
      <c r="D4" s="14"/>
      <c r="E4" s="75" t="s">
        <v>305</v>
      </c>
      <c r="F4" s="75">
        <f t="shared" si="0"/>
        <v>15995.35</v>
      </c>
      <c r="G4" s="75">
        <v>13909</v>
      </c>
      <c r="H4" s="75">
        <f t="shared" si="3"/>
        <v>2086.35</v>
      </c>
      <c r="I4" s="76"/>
      <c r="J4" s="76"/>
      <c r="K4" s="75">
        <f t="shared" si="1"/>
        <v>278.18</v>
      </c>
      <c r="L4" s="75">
        <f t="shared" si="2"/>
        <v>15717.17</v>
      </c>
      <c r="M4" s="14">
        <v>15717</v>
      </c>
      <c r="N4" s="14" t="s">
        <v>473</v>
      </c>
      <c r="O4" s="10" t="s">
        <v>44</v>
      </c>
      <c r="P4" s="68" t="s">
        <v>122</v>
      </c>
    </row>
    <row r="5" spans="1:16" x14ac:dyDescent="0.25">
      <c r="A5" s="14" t="s">
        <v>304</v>
      </c>
      <c r="B5" s="14"/>
      <c r="C5" s="14"/>
      <c r="D5" s="14"/>
      <c r="E5" s="75" t="s">
        <v>361</v>
      </c>
      <c r="F5" s="75">
        <f t="shared" si="0"/>
        <v>10074</v>
      </c>
      <c r="G5" s="75">
        <v>8760</v>
      </c>
      <c r="H5" s="75">
        <f t="shared" si="3"/>
        <v>1314</v>
      </c>
      <c r="I5" s="76"/>
      <c r="J5" s="76"/>
      <c r="K5" s="75">
        <f t="shared" si="1"/>
        <v>175.20000000000002</v>
      </c>
      <c r="L5" s="75">
        <f t="shared" si="2"/>
        <v>9898.7999999999993</v>
      </c>
      <c r="M5" s="14">
        <v>9899</v>
      </c>
      <c r="N5" s="14" t="s">
        <v>859</v>
      </c>
      <c r="O5" s="10" t="s">
        <v>44</v>
      </c>
      <c r="P5" s="68" t="s">
        <v>122</v>
      </c>
    </row>
    <row r="6" spans="1:16" x14ac:dyDescent="0.25">
      <c r="A6" s="17"/>
      <c r="B6" s="17"/>
      <c r="C6" s="17"/>
      <c r="D6" s="17"/>
      <c r="E6" s="44"/>
      <c r="F6" s="44">
        <f t="shared" si="0"/>
        <v>0</v>
      </c>
      <c r="G6" s="44"/>
      <c r="H6" s="44">
        <f t="shared" si="3"/>
        <v>0</v>
      </c>
      <c r="I6" s="78"/>
      <c r="J6" s="78"/>
      <c r="K6" s="44">
        <f t="shared" si="1"/>
        <v>0</v>
      </c>
      <c r="L6" s="44">
        <f t="shared" si="2"/>
        <v>0</v>
      </c>
      <c r="M6" s="17"/>
      <c r="N6" s="17"/>
      <c r="O6" s="17"/>
      <c r="P6" s="23"/>
    </row>
    <row r="7" spans="1:16" x14ac:dyDescent="0.25">
      <c r="A7" s="17"/>
      <c r="B7" s="17"/>
      <c r="C7" s="17"/>
      <c r="D7" s="17"/>
      <c r="E7" s="44"/>
      <c r="F7" s="44">
        <f t="shared" si="0"/>
        <v>0</v>
      </c>
      <c r="G7" s="44"/>
      <c r="H7" s="44">
        <f t="shared" si="3"/>
        <v>0</v>
      </c>
      <c r="I7" s="78"/>
      <c r="J7" s="78"/>
      <c r="K7" s="44">
        <f t="shared" si="1"/>
        <v>0</v>
      </c>
      <c r="L7" s="44">
        <f t="shared" si="2"/>
        <v>0</v>
      </c>
      <c r="M7" s="17"/>
      <c r="N7" s="17"/>
      <c r="O7" s="17"/>
      <c r="P7" s="23"/>
    </row>
    <row r="8" spans="1:16" x14ac:dyDescent="0.25">
      <c r="A8" s="17"/>
      <c r="B8" s="17"/>
      <c r="C8" s="17"/>
      <c r="D8" s="17"/>
      <c r="E8" s="44"/>
      <c r="F8" s="44">
        <f t="shared" si="0"/>
        <v>0</v>
      </c>
      <c r="G8" s="44"/>
      <c r="H8" s="44">
        <f t="shared" si="3"/>
        <v>0</v>
      </c>
      <c r="I8" s="78"/>
      <c r="J8" s="78"/>
      <c r="K8" s="44">
        <f t="shared" si="1"/>
        <v>0</v>
      </c>
      <c r="L8" s="44">
        <f t="shared" si="2"/>
        <v>0</v>
      </c>
      <c r="M8" s="17"/>
      <c r="N8" s="17"/>
      <c r="O8" s="17"/>
      <c r="P8" s="23"/>
    </row>
    <row r="9" spans="1:16" x14ac:dyDescent="0.25">
      <c r="A9" s="17"/>
      <c r="B9" s="17"/>
      <c r="C9" s="17"/>
      <c r="D9" s="17"/>
      <c r="E9" s="44"/>
      <c r="F9" s="44">
        <f t="shared" si="0"/>
        <v>0</v>
      </c>
      <c r="G9" s="44"/>
      <c r="H9" s="44">
        <f t="shared" si="3"/>
        <v>0</v>
      </c>
      <c r="I9" s="78"/>
      <c r="J9" s="78"/>
      <c r="K9" s="44">
        <f t="shared" si="1"/>
        <v>0</v>
      </c>
      <c r="L9" s="44">
        <f t="shared" si="2"/>
        <v>0</v>
      </c>
      <c r="M9" s="17"/>
      <c r="N9" s="17"/>
      <c r="O9" s="17"/>
      <c r="P9" s="23"/>
    </row>
    <row r="10" spans="1:16" x14ac:dyDescent="0.25">
      <c r="A10" s="17"/>
      <c r="B10" s="17"/>
      <c r="C10" s="17"/>
      <c r="D10" s="17"/>
      <c r="E10" s="44"/>
      <c r="F10" s="44">
        <f t="shared" si="0"/>
        <v>0</v>
      </c>
      <c r="G10" s="44"/>
      <c r="H10" s="44">
        <f t="shared" si="3"/>
        <v>0</v>
      </c>
      <c r="I10" s="78"/>
      <c r="J10" s="78"/>
      <c r="K10" s="44">
        <f t="shared" si="1"/>
        <v>0</v>
      </c>
      <c r="L10" s="44">
        <f t="shared" si="2"/>
        <v>0</v>
      </c>
      <c r="M10" s="17"/>
      <c r="N10" s="17"/>
      <c r="O10" s="17"/>
      <c r="P10" s="23"/>
    </row>
    <row r="11" spans="1:16" x14ac:dyDescent="0.25">
      <c r="A11" s="17"/>
      <c r="B11" s="17"/>
      <c r="C11" s="17"/>
      <c r="D11" s="17"/>
      <c r="E11" s="44"/>
      <c r="F11" s="44">
        <f t="shared" si="0"/>
        <v>0</v>
      </c>
      <c r="G11" s="44"/>
      <c r="H11" s="44">
        <f t="shared" si="3"/>
        <v>0</v>
      </c>
      <c r="I11" s="78"/>
      <c r="J11" s="78"/>
      <c r="K11" s="44">
        <f t="shared" si="1"/>
        <v>0</v>
      </c>
      <c r="L11" s="44">
        <f t="shared" si="2"/>
        <v>0</v>
      </c>
      <c r="M11" s="17"/>
      <c r="N11" s="17"/>
      <c r="O11" s="17"/>
      <c r="P11" s="23"/>
    </row>
    <row r="12" spans="1:16" x14ac:dyDescent="0.25">
      <c r="A12" s="17"/>
      <c r="B12" s="17"/>
      <c r="C12" s="17"/>
      <c r="D12" s="17"/>
      <c r="E12" s="44"/>
      <c r="F12" s="44">
        <f t="shared" si="0"/>
        <v>0</v>
      </c>
      <c r="G12" s="44"/>
      <c r="H12" s="44">
        <f t="shared" si="3"/>
        <v>0</v>
      </c>
      <c r="I12" s="78"/>
      <c r="J12" s="78"/>
      <c r="K12" s="44">
        <f t="shared" si="1"/>
        <v>0</v>
      </c>
      <c r="L12" s="44">
        <f t="shared" si="2"/>
        <v>0</v>
      </c>
      <c r="M12" s="17"/>
      <c r="N12" s="17"/>
      <c r="O12" s="17"/>
      <c r="P12" s="23"/>
    </row>
    <row r="13" spans="1:16" x14ac:dyDescent="0.25">
      <c r="A13" s="17"/>
      <c r="B13" s="17"/>
      <c r="C13" s="17"/>
      <c r="D13" s="17"/>
      <c r="E13" s="44"/>
      <c r="F13" s="44">
        <f t="shared" si="0"/>
        <v>0</v>
      </c>
      <c r="G13" s="44"/>
      <c r="H13" s="44">
        <f t="shared" si="3"/>
        <v>0</v>
      </c>
      <c r="I13" s="78"/>
      <c r="J13" s="78"/>
      <c r="K13" s="44">
        <f t="shared" si="1"/>
        <v>0</v>
      </c>
      <c r="L13" s="44">
        <f t="shared" si="2"/>
        <v>0</v>
      </c>
      <c r="M13" s="17"/>
      <c r="N13" s="17"/>
      <c r="O13" s="17"/>
      <c r="P13" s="23"/>
    </row>
    <row r="14" spans="1:16" x14ac:dyDescent="0.25">
      <c r="A14" s="17"/>
      <c r="B14" s="17"/>
      <c r="C14" s="17"/>
      <c r="D14" s="17"/>
      <c r="E14" s="44"/>
      <c r="F14" s="44">
        <f t="shared" si="0"/>
        <v>0</v>
      </c>
      <c r="G14" s="44"/>
      <c r="H14" s="44">
        <f t="shared" si="3"/>
        <v>0</v>
      </c>
      <c r="I14" s="78"/>
      <c r="J14" s="78"/>
      <c r="K14" s="44">
        <f t="shared" si="1"/>
        <v>0</v>
      </c>
      <c r="L14" s="44">
        <f t="shared" si="2"/>
        <v>0</v>
      </c>
      <c r="M14" s="17"/>
      <c r="N14" s="17"/>
      <c r="O14" s="17"/>
      <c r="P14" s="17"/>
    </row>
    <row r="15" spans="1:16" x14ac:dyDescent="0.25">
      <c r="A15" s="5"/>
      <c r="B15" s="5"/>
      <c r="C15" s="5"/>
      <c r="D15" s="5"/>
      <c r="E15" s="32"/>
      <c r="F15" s="32"/>
      <c r="G15" s="32"/>
      <c r="H15" s="32"/>
      <c r="I15" s="5"/>
      <c r="J15" s="32"/>
      <c r="K15" s="32"/>
      <c r="L15" s="32"/>
      <c r="M15" s="5"/>
      <c r="N15" s="5"/>
      <c r="O15" s="5"/>
      <c r="P15" s="5"/>
    </row>
    <row r="16" spans="1:16" ht="23.25" x14ac:dyDescent="0.35">
      <c r="A16" s="5"/>
      <c r="B16" s="5"/>
      <c r="C16" s="5"/>
      <c r="D16" s="5"/>
      <c r="E16" s="46" t="s">
        <v>38</v>
      </c>
      <c r="F16" s="33">
        <f>SUM(F2:F14)</f>
        <v>31542.2</v>
      </c>
      <c r="G16" s="33">
        <f>SUM(G2:G14)</f>
        <v>27428</v>
      </c>
      <c r="H16" s="33">
        <f>SUM(H2:H14)</f>
        <v>4114.2</v>
      </c>
      <c r="I16" s="32"/>
      <c r="J16" s="5"/>
      <c r="K16" s="33">
        <f>SUM(K2:K14)</f>
        <v>548.56000000000006</v>
      </c>
      <c r="L16" s="33">
        <f>SUM(L2:L14)</f>
        <v>30993.64</v>
      </c>
      <c r="M16" s="33">
        <f>SUM(M2:M14)</f>
        <v>30916</v>
      </c>
      <c r="N16" s="5"/>
      <c r="O16" s="5"/>
      <c r="P16" s="5"/>
    </row>
    <row r="17" spans="5:16" ht="18.75" x14ac:dyDescent="0.3">
      <c r="E17" s="48" t="s">
        <v>39</v>
      </c>
    </row>
    <row r="19" spans="5:16" x14ac:dyDescent="0.25">
      <c r="O19">
        <f>78/2</f>
        <v>39</v>
      </c>
      <c r="P19" s="112">
        <f>L2-O19</f>
        <v>1242.4199999999998</v>
      </c>
    </row>
    <row r="20" spans="5:16" x14ac:dyDescent="0.25">
      <c r="P20" s="112">
        <f>L3-O19</f>
        <v>4057.25</v>
      </c>
    </row>
  </sheetData>
  <hyperlinks>
    <hyperlink ref="E16" location="HOME!A1" display="HOME" xr:uid="{00000000-0004-0000-1000-000000000000}"/>
    <hyperlink ref="E17" location="MONTHWISE!A1" display="Monthwise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P16"/>
  <sheetViews>
    <sheetView workbookViewId="0">
      <selection activeCell="E15" sqref="E15"/>
    </sheetView>
  </sheetViews>
  <sheetFormatPr defaultRowHeight="15" x14ac:dyDescent="0.25"/>
  <cols>
    <col min="1" max="1" width="12.42578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19.8554687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5">
      <c r="A2" s="65" t="s">
        <v>306</v>
      </c>
      <c r="B2" s="65"/>
      <c r="C2" s="65" t="s">
        <v>84</v>
      </c>
      <c r="D2" s="122"/>
      <c r="E2" s="66" t="s">
        <v>307</v>
      </c>
      <c r="F2" s="75">
        <f t="shared" ref="F2:F13" si="0">SUM(G2:H2)</f>
        <v>4694.5</v>
      </c>
      <c r="G2" s="67">
        <v>4100</v>
      </c>
      <c r="H2" s="75">
        <f t="shared" ref="H2" si="1">G2*14.5%</f>
        <v>594.5</v>
      </c>
      <c r="I2" s="124">
        <v>42492</v>
      </c>
      <c r="J2" s="124">
        <f>I2+60</f>
        <v>42552</v>
      </c>
      <c r="K2" s="75">
        <f t="shared" ref="K2:K13" si="2">G2*2%</f>
        <v>82</v>
      </c>
      <c r="L2" s="75">
        <f t="shared" ref="L2:L13" si="3">F2-K2</f>
        <v>4612.5</v>
      </c>
      <c r="M2" s="67">
        <v>4613</v>
      </c>
      <c r="N2" s="65" t="s">
        <v>308</v>
      </c>
      <c r="O2" s="10" t="s">
        <v>44</v>
      </c>
      <c r="P2" s="68" t="s">
        <v>122</v>
      </c>
    </row>
    <row r="3" spans="1:16" x14ac:dyDescent="0.25">
      <c r="A3" s="65" t="s">
        <v>458</v>
      </c>
      <c r="B3" s="65"/>
      <c r="C3" s="65" t="s">
        <v>84</v>
      </c>
      <c r="D3" s="122"/>
      <c r="E3" s="66" t="s">
        <v>465</v>
      </c>
      <c r="F3" s="75">
        <f t="shared" si="0"/>
        <v>3266</v>
      </c>
      <c r="G3" s="67">
        <v>2840</v>
      </c>
      <c r="H3" s="75">
        <f>G3*15%</f>
        <v>426</v>
      </c>
      <c r="I3" s="65"/>
      <c r="J3" s="66"/>
      <c r="K3" s="75">
        <f t="shared" si="2"/>
        <v>56.800000000000004</v>
      </c>
      <c r="L3" s="75">
        <f t="shared" si="3"/>
        <v>3209.2</v>
      </c>
      <c r="M3" s="67">
        <v>3209</v>
      </c>
      <c r="N3" s="65" t="s">
        <v>652</v>
      </c>
      <c r="O3" s="10" t="s">
        <v>44</v>
      </c>
      <c r="P3" s="68" t="s">
        <v>122</v>
      </c>
    </row>
    <row r="4" spans="1:16" x14ac:dyDescent="0.25">
      <c r="A4" s="65" t="s">
        <v>499</v>
      </c>
      <c r="B4" s="65"/>
      <c r="C4" s="65" t="s">
        <v>84</v>
      </c>
      <c r="D4" s="122"/>
      <c r="E4" s="66" t="s">
        <v>503</v>
      </c>
      <c r="F4" s="75">
        <f t="shared" si="0"/>
        <v>17066</v>
      </c>
      <c r="G4" s="67">
        <v>14840</v>
      </c>
      <c r="H4" s="75">
        <f t="shared" ref="H4:H13" si="4">G4*15%</f>
        <v>2226</v>
      </c>
      <c r="I4" s="124">
        <v>42645</v>
      </c>
      <c r="J4" s="124">
        <f>I4+60</f>
        <v>42705</v>
      </c>
      <c r="K4" s="75">
        <f t="shared" si="2"/>
        <v>296.8</v>
      </c>
      <c r="L4" s="75">
        <f t="shared" si="3"/>
        <v>16769.2</v>
      </c>
      <c r="M4" s="67">
        <v>16769</v>
      </c>
      <c r="N4" s="65" t="s">
        <v>553</v>
      </c>
      <c r="O4" s="10" t="s">
        <v>44</v>
      </c>
      <c r="P4" s="68" t="s">
        <v>122</v>
      </c>
    </row>
    <row r="5" spans="1:16" x14ac:dyDescent="0.25">
      <c r="A5" s="20"/>
      <c r="B5" s="20"/>
      <c r="C5" s="20"/>
      <c r="D5" s="21"/>
      <c r="E5" s="69"/>
      <c r="F5" s="44">
        <f t="shared" si="0"/>
        <v>0</v>
      </c>
      <c r="G5" s="22"/>
      <c r="H5" s="44">
        <f t="shared" si="4"/>
        <v>0</v>
      </c>
      <c r="I5" s="20"/>
      <c r="J5" s="69"/>
      <c r="K5" s="44">
        <f t="shared" si="2"/>
        <v>0</v>
      </c>
      <c r="L5" s="44">
        <f t="shared" si="3"/>
        <v>0</v>
      </c>
      <c r="M5" s="22"/>
      <c r="N5" s="20"/>
      <c r="O5" s="20"/>
      <c r="P5" s="121"/>
    </row>
    <row r="6" spans="1:16" x14ac:dyDescent="0.25">
      <c r="A6" s="20"/>
      <c r="B6" s="20"/>
      <c r="C6" s="20"/>
      <c r="D6" s="21"/>
      <c r="E6" s="69"/>
      <c r="F6" s="44">
        <f t="shared" si="0"/>
        <v>0</v>
      </c>
      <c r="G6" s="22"/>
      <c r="H6" s="44">
        <f t="shared" si="4"/>
        <v>0</v>
      </c>
      <c r="I6" s="20"/>
      <c r="J6" s="69"/>
      <c r="K6" s="44">
        <f t="shared" si="2"/>
        <v>0</v>
      </c>
      <c r="L6" s="44">
        <f t="shared" si="3"/>
        <v>0</v>
      </c>
      <c r="M6" s="22"/>
      <c r="N6" s="20"/>
      <c r="O6" s="20"/>
      <c r="P6" s="121"/>
    </row>
    <row r="7" spans="1:16" x14ac:dyDescent="0.25">
      <c r="A7" s="20"/>
      <c r="B7" s="20"/>
      <c r="C7" s="20"/>
      <c r="D7" s="21"/>
      <c r="E7" s="69"/>
      <c r="F7" s="44">
        <f t="shared" si="0"/>
        <v>0</v>
      </c>
      <c r="G7" s="22"/>
      <c r="H7" s="44">
        <f t="shared" si="4"/>
        <v>0</v>
      </c>
      <c r="I7" s="20"/>
      <c r="J7" s="69"/>
      <c r="K7" s="44">
        <f t="shared" si="2"/>
        <v>0</v>
      </c>
      <c r="L7" s="44">
        <f t="shared" si="3"/>
        <v>0</v>
      </c>
      <c r="M7" s="22"/>
      <c r="N7" s="20"/>
      <c r="O7" s="20"/>
      <c r="P7" s="121"/>
    </row>
    <row r="8" spans="1:16" x14ac:dyDescent="0.25">
      <c r="A8" s="20"/>
      <c r="B8" s="20"/>
      <c r="C8" s="20"/>
      <c r="D8" s="21"/>
      <c r="E8" s="69"/>
      <c r="F8" s="44">
        <f t="shared" si="0"/>
        <v>0</v>
      </c>
      <c r="G8" s="22"/>
      <c r="H8" s="44">
        <f t="shared" si="4"/>
        <v>0</v>
      </c>
      <c r="I8" s="20"/>
      <c r="J8" s="69"/>
      <c r="K8" s="44">
        <f t="shared" si="2"/>
        <v>0</v>
      </c>
      <c r="L8" s="44">
        <f t="shared" si="3"/>
        <v>0</v>
      </c>
      <c r="M8" s="22"/>
      <c r="N8" s="20"/>
      <c r="O8" s="20"/>
      <c r="P8" s="121"/>
    </row>
    <row r="9" spans="1:16" x14ac:dyDescent="0.25">
      <c r="A9" s="20"/>
      <c r="B9" s="20"/>
      <c r="C9" s="20"/>
      <c r="D9" s="21"/>
      <c r="E9" s="69"/>
      <c r="F9" s="44">
        <f t="shared" si="0"/>
        <v>0</v>
      </c>
      <c r="G9" s="22"/>
      <c r="H9" s="44">
        <f t="shared" si="4"/>
        <v>0</v>
      </c>
      <c r="I9" s="20"/>
      <c r="J9" s="69"/>
      <c r="K9" s="44">
        <f t="shared" si="2"/>
        <v>0</v>
      </c>
      <c r="L9" s="44">
        <f t="shared" si="3"/>
        <v>0</v>
      </c>
      <c r="M9" s="22"/>
      <c r="N9" s="20"/>
      <c r="O9" s="20"/>
      <c r="P9" s="121"/>
    </row>
    <row r="10" spans="1:16" x14ac:dyDescent="0.25">
      <c r="A10" s="20"/>
      <c r="B10" s="20"/>
      <c r="C10" s="20"/>
      <c r="D10" s="21"/>
      <c r="E10" s="69"/>
      <c r="F10" s="44">
        <f t="shared" si="0"/>
        <v>0</v>
      </c>
      <c r="G10" s="22"/>
      <c r="H10" s="44">
        <f t="shared" si="4"/>
        <v>0</v>
      </c>
      <c r="I10" s="40"/>
      <c r="J10" s="69"/>
      <c r="K10" s="44">
        <f t="shared" si="2"/>
        <v>0</v>
      </c>
      <c r="L10" s="44">
        <f t="shared" si="3"/>
        <v>0</v>
      </c>
      <c r="M10" s="22"/>
      <c r="N10" s="20"/>
      <c r="O10" s="20"/>
      <c r="P10" s="121"/>
    </row>
    <row r="11" spans="1:16" x14ac:dyDescent="0.25">
      <c r="A11" s="20"/>
      <c r="B11" s="20"/>
      <c r="C11" s="20"/>
      <c r="D11" s="21"/>
      <c r="E11" s="69"/>
      <c r="F11" s="44">
        <f t="shared" si="0"/>
        <v>0</v>
      </c>
      <c r="G11" s="22"/>
      <c r="H11" s="44">
        <f t="shared" si="4"/>
        <v>0</v>
      </c>
      <c r="I11" s="40"/>
      <c r="J11" s="69"/>
      <c r="K11" s="44">
        <f t="shared" si="2"/>
        <v>0</v>
      </c>
      <c r="L11" s="44">
        <f t="shared" si="3"/>
        <v>0</v>
      </c>
      <c r="M11" s="22"/>
      <c r="N11" s="20"/>
      <c r="O11" s="20"/>
      <c r="P11" s="121"/>
    </row>
    <row r="12" spans="1:16" x14ac:dyDescent="0.25">
      <c r="A12" s="20"/>
      <c r="B12" s="20"/>
      <c r="C12" s="20"/>
      <c r="D12" s="21"/>
      <c r="E12" s="69"/>
      <c r="F12" s="44">
        <f t="shared" si="0"/>
        <v>0</v>
      </c>
      <c r="G12" s="22"/>
      <c r="H12" s="44">
        <f t="shared" si="4"/>
        <v>0</v>
      </c>
      <c r="I12" s="20"/>
      <c r="J12" s="69"/>
      <c r="K12" s="44">
        <f t="shared" si="2"/>
        <v>0</v>
      </c>
      <c r="L12" s="44">
        <f t="shared" si="3"/>
        <v>0</v>
      </c>
      <c r="M12" s="22"/>
      <c r="N12" s="20"/>
      <c r="O12" s="20"/>
      <c r="P12" s="121"/>
    </row>
    <row r="13" spans="1:16" x14ac:dyDescent="0.25">
      <c r="A13" s="28"/>
      <c r="B13" s="28"/>
      <c r="C13" s="28"/>
      <c r="D13" s="29"/>
      <c r="E13" s="70"/>
      <c r="F13" s="44">
        <f t="shared" si="0"/>
        <v>0</v>
      </c>
      <c r="G13" s="30"/>
      <c r="H13" s="44">
        <f t="shared" si="4"/>
        <v>0</v>
      </c>
      <c r="I13" s="28"/>
      <c r="J13" s="70"/>
      <c r="K13" s="44">
        <f t="shared" si="2"/>
        <v>0</v>
      </c>
      <c r="L13" s="44">
        <f t="shared" si="3"/>
        <v>0</v>
      </c>
      <c r="M13" s="30"/>
      <c r="N13" s="28"/>
      <c r="O13" s="28"/>
      <c r="P13" s="43"/>
    </row>
    <row r="14" spans="1:16" x14ac:dyDescent="0.25">
      <c r="A14" s="39"/>
      <c r="B14" s="39"/>
      <c r="C14" s="39"/>
      <c r="D14" s="123"/>
      <c r="E14" s="71"/>
      <c r="F14" s="42"/>
      <c r="G14" s="32"/>
      <c r="H14" s="42"/>
      <c r="I14" s="39"/>
      <c r="J14" s="71"/>
      <c r="K14" s="32"/>
      <c r="L14" s="42"/>
      <c r="M14" s="42"/>
      <c r="N14" s="39"/>
      <c r="O14" s="39"/>
      <c r="P14" s="39"/>
    </row>
    <row r="15" spans="1:16" ht="23.25" x14ac:dyDescent="0.35">
      <c r="A15" s="39"/>
      <c r="B15" s="39"/>
      <c r="C15" s="39"/>
      <c r="D15" s="123"/>
      <c r="E15" s="46" t="s">
        <v>38</v>
      </c>
      <c r="F15" s="33">
        <f>SUM(F2:F13)</f>
        <v>25026.5</v>
      </c>
      <c r="G15" s="33">
        <f t="shared" ref="G15:M15" si="5">SUM(G2:G13)</f>
        <v>21780</v>
      </c>
      <c r="H15" s="33">
        <f t="shared" si="5"/>
        <v>3246.5</v>
      </c>
      <c r="I15" s="34"/>
      <c r="J15" s="34"/>
      <c r="K15" s="33">
        <f t="shared" si="5"/>
        <v>435.6</v>
      </c>
      <c r="L15" s="33">
        <f t="shared" si="5"/>
        <v>24590.9</v>
      </c>
      <c r="M15" s="33">
        <f t="shared" si="5"/>
        <v>24591</v>
      </c>
      <c r="N15" s="39"/>
      <c r="O15" s="39"/>
      <c r="P15" s="39"/>
    </row>
    <row r="16" spans="1:16" ht="18.75" x14ac:dyDescent="0.3">
      <c r="A16" s="39"/>
      <c r="B16" s="39"/>
      <c r="C16" s="39"/>
      <c r="D16" s="123"/>
      <c r="E16" s="48" t="s">
        <v>39</v>
      </c>
      <c r="F16" s="42"/>
      <c r="G16" s="32"/>
      <c r="H16" s="42"/>
      <c r="I16" s="39"/>
      <c r="J16" s="71"/>
      <c r="K16" s="32"/>
      <c r="L16" s="42"/>
      <c r="M16" s="42"/>
      <c r="N16" s="39"/>
      <c r="O16" s="39"/>
      <c r="P16" s="39"/>
    </row>
  </sheetData>
  <hyperlinks>
    <hyperlink ref="E15" location="HOME!A1" display="HOME" xr:uid="{00000000-0004-0000-1100-000000000000}"/>
    <hyperlink ref="E16" location="MONTHWISE!A1" display="Monthwise" xr:uid="{00000000-0004-0000-1100-000001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A1:P21"/>
  <sheetViews>
    <sheetView workbookViewId="0">
      <selection activeCell="E15" sqref="E15"/>
    </sheetView>
  </sheetViews>
  <sheetFormatPr defaultRowHeight="15" x14ac:dyDescent="0.25"/>
  <cols>
    <col min="1" max="1" width="12.710937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19.28515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5703125" bestFit="1" customWidth="1"/>
    <col min="16" max="16" width="11.7109375" bestFit="1" customWidth="1"/>
  </cols>
  <sheetData>
    <row r="1" spans="1:16" x14ac:dyDescent="0.25">
      <c r="A1" s="135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136" t="s">
        <v>37</v>
      </c>
    </row>
    <row r="2" spans="1:16" x14ac:dyDescent="0.25">
      <c r="A2" s="14" t="s">
        <v>74</v>
      </c>
      <c r="B2" s="14"/>
      <c r="C2" s="14" t="s">
        <v>314</v>
      </c>
      <c r="D2" s="14"/>
      <c r="E2" s="75" t="s">
        <v>315</v>
      </c>
      <c r="F2" s="75">
        <f>SUM(G2:H2)</f>
        <v>4997.9250000000002</v>
      </c>
      <c r="G2" s="75">
        <f>2910*1.5</f>
        <v>4365</v>
      </c>
      <c r="H2" s="75">
        <f>G2*14.5%</f>
        <v>632.92499999999995</v>
      </c>
      <c r="I2" s="76">
        <v>42521</v>
      </c>
      <c r="J2" s="76">
        <f>I2+45</f>
        <v>42566</v>
      </c>
      <c r="K2" s="75">
        <f>G2*2%</f>
        <v>87.3</v>
      </c>
      <c r="L2" s="75">
        <f>F2-K2</f>
        <v>4910.625</v>
      </c>
      <c r="M2" s="14">
        <v>4910</v>
      </c>
      <c r="N2" s="14" t="s">
        <v>316</v>
      </c>
      <c r="O2" s="14" t="s">
        <v>44</v>
      </c>
      <c r="P2" s="14" t="s">
        <v>45</v>
      </c>
    </row>
    <row r="3" spans="1:16" x14ac:dyDescent="0.25">
      <c r="A3" s="14" t="s">
        <v>317</v>
      </c>
      <c r="B3" s="14"/>
      <c r="C3" s="14" t="s">
        <v>314</v>
      </c>
      <c r="D3" s="14"/>
      <c r="E3" s="75" t="s">
        <v>318</v>
      </c>
      <c r="F3" s="75">
        <f>SUM(G3:H3)</f>
        <v>3393.0749999999998</v>
      </c>
      <c r="G3" s="75">
        <f>1967*1.5</f>
        <v>2950.5</v>
      </c>
      <c r="H3" s="75">
        <f>G3*15%</f>
        <v>442.57499999999999</v>
      </c>
      <c r="I3" s="76">
        <v>42558</v>
      </c>
      <c r="J3" s="76">
        <f>I3+45</f>
        <v>42603</v>
      </c>
      <c r="K3" s="75">
        <f>G3*2%</f>
        <v>59.01</v>
      </c>
      <c r="L3" s="75">
        <f>F3-K3</f>
        <v>3334.0649999999996</v>
      </c>
      <c r="M3" s="14">
        <v>3334</v>
      </c>
      <c r="N3" s="14" t="s">
        <v>363</v>
      </c>
      <c r="O3" s="14" t="s">
        <v>44</v>
      </c>
      <c r="P3" s="14" t="s">
        <v>45</v>
      </c>
    </row>
    <row r="4" spans="1:16" x14ac:dyDescent="0.25">
      <c r="A4" s="14" t="s">
        <v>458</v>
      </c>
      <c r="B4" s="14"/>
      <c r="C4" s="14" t="s">
        <v>471</v>
      </c>
      <c r="D4" s="14"/>
      <c r="E4" s="75" t="s">
        <v>470</v>
      </c>
      <c r="F4" s="75">
        <f t="shared" ref="F4:F13" si="0">SUM(G4:H4)</f>
        <v>22538.85</v>
      </c>
      <c r="G4" s="75">
        <v>19599</v>
      </c>
      <c r="H4" s="75">
        <f t="shared" ref="H4:H13" si="1">G4*15%</f>
        <v>2939.85</v>
      </c>
      <c r="I4" s="76">
        <v>42647</v>
      </c>
      <c r="J4" s="76">
        <f>I4+45</f>
        <v>42692</v>
      </c>
      <c r="K4" s="75">
        <f t="shared" ref="K4:K13" si="2">G4*2%</f>
        <v>391.98</v>
      </c>
      <c r="L4" s="75">
        <f t="shared" ref="L4:L13" si="3">F4-K4</f>
        <v>22146.87</v>
      </c>
      <c r="M4" s="14">
        <v>22146</v>
      </c>
      <c r="N4" s="14" t="s">
        <v>639</v>
      </c>
      <c r="O4" s="14" t="s">
        <v>44</v>
      </c>
      <c r="P4" s="14" t="s">
        <v>45</v>
      </c>
    </row>
    <row r="5" spans="1:16" x14ac:dyDescent="0.25">
      <c r="A5" s="14" t="s">
        <v>514</v>
      </c>
      <c r="B5" s="14"/>
      <c r="C5" s="14" t="s">
        <v>471</v>
      </c>
      <c r="D5" s="14"/>
      <c r="E5" s="75" t="s">
        <v>527</v>
      </c>
      <c r="F5" s="75">
        <f t="shared" si="0"/>
        <v>59811.5</v>
      </c>
      <c r="G5" s="75">
        <v>52010</v>
      </c>
      <c r="H5" s="75">
        <f t="shared" si="1"/>
        <v>7801.5</v>
      </c>
      <c r="I5" s="76">
        <v>42675</v>
      </c>
      <c r="J5" s="76">
        <f t="shared" ref="J5:J13" si="4">I5+45</f>
        <v>42720</v>
      </c>
      <c r="K5" s="75">
        <f t="shared" si="2"/>
        <v>1040.2</v>
      </c>
      <c r="L5" s="75">
        <f t="shared" si="3"/>
        <v>58771.3</v>
      </c>
      <c r="M5" s="14">
        <v>58771</v>
      </c>
      <c r="N5" s="14" t="s">
        <v>720</v>
      </c>
      <c r="O5" s="14" t="s">
        <v>44</v>
      </c>
      <c r="P5" s="14" t="s">
        <v>45</v>
      </c>
    </row>
    <row r="6" spans="1:16" x14ac:dyDescent="0.25">
      <c r="A6" s="14" t="s">
        <v>613</v>
      </c>
      <c r="B6" s="14"/>
      <c r="C6" s="14" t="s">
        <v>471</v>
      </c>
      <c r="D6" s="14"/>
      <c r="E6" s="75" t="s">
        <v>623</v>
      </c>
      <c r="F6" s="75">
        <f t="shared" si="0"/>
        <v>225034.3</v>
      </c>
      <c r="G6" s="75">
        <v>195682</v>
      </c>
      <c r="H6" s="75">
        <f t="shared" si="1"/>
        <v>29352.3</v>
      </c>
      <c r="I6" s="76">
        <v>43100</v>
      </c>
      <c r="J6" s="76">
        <f t="shared" si="4"/>
        <v>43145</v>
      </c>
      <c r="K6" s="75">
        <f t="shared" si="2"/>
        <v>3913.64</v>
      </c>
      <c r="L6" s="75">
        <f t="shared" si="3"/>
        <v>221120.65999999997</v>
      </c>
      <c r="M6" s="14">
        <v>221121</v>
      </c>
      <c r="N6" s="14" t="s">
        <v>850</v>
      </c>
      <c r="O6" s="14" t="s">
        <v>44</v>
      </c>
      <c r="P6" s="14" t="s">
        <v>45</v>
      </c>
    </row>
    <row r="7" spans="1:16" x14ac:dyDescent="0.25">
      <c r="A7" s="14" t="s">
        <v>669</v>
      </c>
      <c r="B7" s="14"/>
      <c r="C7" s="14" t="s">
        <v>671</v>
      </c>
      <c r="D7" s="14" t="s">
        <v>95</v>
      </c>
      <c r="E7" s="75" t="s">
        <v>670</v>
      </c>
      <c r="F7" s="75">
        <f t="shared" si="0"/>
        <v>3574.2</v>
      </c>
      <c r="G7" s="75">
        <v>3108</v>
      </c>
      <c r="H7" s="75">
        <f t="shared" si="1"/>
        <v>466.2</v>
      </c>
      <c r="I7" s="76">
        <v>42772</v>
      </c>
      <c r="J7" s="76">
        <f t="shared" si="4"/>
        <v>42817</v>
      </c>
      <c r="K7" s="75">
        <f t="shared" si="2"/>
        <v>62.160000000000004</v>
      </c>
      <c r="L7" s="75">
        <f t="shared" si="3"/>
        <v>3512.04</v>
      </c>
      <c r="M7" s="14">
        <v>3512</v>
      </c>
      <c r="N7" s="14" t="s">
        <v>850</v>
      </c>
      <c r="O7" s="14" t="s">
        <v>44</v>
      </c>
      <c r="P7" s="14" t="s">
        <v>45</v>
      </c>
    </row>
    <row r="8" spans="1:16" x14ac:dyDescent="0.25">
      <c r="A8" s="14" t="s">
        <v>735</v>
      </c>
      <c r="B8" s="14"/>
      <c r="C8" s="14" t="s">
        <v>84</v>
      </c>
      <c r="D8" s="14"/>
      <c r="E8" s="75" t="s">
        <v>737</v>
      </c>
      <c r="F8" s="75">
        <f t="shared" si="0"/>
        <v>51462.5</v>
      </c>
      <c r="G8" s="75">
        <v>44750</v>
      </c>
      <c r="H8" s="75">
        <f t="shared" si="1"/>
        <v>6712.5</v>
      </c>
      <c r="I8" s="76">
        <v>42767</v>
      </c>
      <c r="J8" s="76">
        <f t="shared" si="4"/>
        <v>42812</v>
      </c>
      <c r="K8" s="75">
        <f t="shared" si="2"/>
        <v>895</v>
      </c>
      <c r="L8" s="75">
        <f t="shared" si="3"/>
        <v>50567.5</v>
      </c>
      <c r="M8" s="14">
        <v>50568</v>
      </c>
      <c r="N8" s="14" t="s">
        <v>850</v>
      </c>
      <c r="O8" s="14" t="s">
        <v>44</v>
      </c>
      <c r="P8" s="14" t="s">
        <v>45</v>
      </c>
    </row>
    <row r="9" spans="1:16" x14ac:dyDescent="0.25">
      <c r="A9" s="17"/>
      <c r="B9" s="17"/>
      <c r="C9" s="17"/>
      <c r="D9" s="17"/>
      <c r="E9" s="44"/>
      <c r="F9" s="44">
        <f t="shared" si="0"/>
        <v>0</v>
      </c>
      <c r="G9" s="44"/>
      <c r="H9" s="44">
        <f t="shared" si="1"/>
        <v>0</v>
      </c>
      <c r="I9" s="17"/>
      <c r="J9" s="78">
        <f t="shared" si="4"/>
        <v>45</v>
      </c>
      <c r="K9" s="44">
        <f t="shared" si="2"/>
        <v>0</v>
      </c>
      <c r="L9" s="44">
        <f t="shared" si="3"/>
        <v>0</v>
      </c>
      <c r="M9" s="17"/>
      <c r="N9" s="17"/>
      <c r="O9" s="17"/>
      <c r="P9" s="17"/>
    </row>
    <row r="10" spans="1:16" x14ac:dyDescent="0.25">
      <c r="A10" s="17"/>
      <c r="B10" s="17"/>
      <c r="C10" s="17"/>
      <c r="D10" s="17"/>
      <c r="E10" s="44"/>
      <c r="F10" s="44">
        <f t="shared" si="0"/>
        <v>0</v>
      </c>
      <c r="G10" s="44"/>
      <c r="H10" s="44">
        <f t="shared" si="1"/>
        <v>0</v>
      </c>
      <c r="I10" s="17"/>
      <c r="J10" s="78">
        <f t="shared" si="4"/>
        <v>45</v>
      </c>
      <c r="K10" s="44">
        <f t="shared" si="2"/>
        <v>0</v>
      </c>
      <c r="L10" s="44">
        <f t="shared" si="3"/>
        <v>0</v>
      </c>
      <c r="M10" s="17"/>
      <c r="N10" s="17"/>
      <c r="O10" s="17"/>
      <c r="P10" s="17"/>
    </row>
    <row r="11" spans="1:16" x14ac:dyDescent="0.25">
      <c r="A11" s="17"/>
      <c r="B11" s="17"/>
      <c r="C11" s="17"/>
      <c r="D11" s="17"/>
      <c r="E11" s="44"/>
      <c r="F11" s="44">
        <f t="shared" si="0"/>
        <v>0</v>
      </c>
      <c r="G11" s="44"/>
      <c r="H11" s="44">
        <f t="shared" si="1"/>
        <v>0</v>
      </c>
      <c r="I11" s="17"/>
      <c r="J11" s="78">
        <f t="shared" si="4"/>
        <v>45</v>
      </c>
      <c r="K11" s="44">
        <f t="shared" si="2"/>
        <v>0</v>
      </c>
      <c r="L11" s="44">
        <f t="shared" si="3"/>
        <v>0</v>
      </c>
      <c r="M11" s="17"/>
      <c r="N11" s="17"/>
      <c r="O11" s="17"/>
      <c r="P11" s="17"/>
    </row>
    <row r="12" spans="1:16" x14ac:dyDescent="0.25">
      <c r="A12" s="17"/>
      <c r="B12" s="17"/>
      <c r="C12" s="17"/>
      <c r="D12" s="17"/>
      <c r="E12" s="44"/>
      <c r="F12" s="44">
        <f t="shared" si="0"/>
        <v>0</v>
      </c>
      <c r="G12" s="44"/>
      <c r="H12" s="44">
        <f t="shared" si="1"/>
        <v>0</v>
      </c>
      <c r="I12" s="17"/>
      <c r="J12" s="78">
        <f t="shared" si="4"/>
        <v>45</v>
      </c>
      <c r="K12" s="44">
        <f t="shared" si="2"/>
        <v>0</v>
      </c>
      <c r="L12" s="44">
        <f t="shared" si="3"/>
        <v>0</v>
      </c>
      <c r="M12" s="17"/>
      <c r="N12" s="17"/>
      <c r="O12" s="17"/>
      <c r="P12" s="17"/>
    </row>
    <row r="13" spans="1:16" x14ac:dyDescent="0.25">
      <c r="A13" s="17"/>
      <c r="B13" s="17"/>
      <c r="C13" s="17"/>
      <c r="D13" s="17"/>
      <c r="E13" s="44"/>
      <c r="F13" s="44">
        <f t="shared" si="0"/>
        <v>0</v>
      </c>
      <c r="G13" s="44"/>
      <c r="H13" s="44">
        <f t="shared" si="1"/>
        <v>0</v>
      </c>
      <c r="I13" s="17"/>
      <c r="J13" s="78">
        <f t="shared" si="4"/>
        <v>45</v>
      </c>
      <c r="K13" s="44">
        <f t="shared" si="2"/>
        <v>0</v>
      </c>
      <c r="L13" s="44">
        <f t="shared" si="3"/>
        <v>0</v>
      </c>
      <c r="M13" s="17"/>
      <c r="N13" s="17"/>
      <c r="O13" s="17"/>
      <c r="P13" s="17"/>
    </row>
    <row r="14" spans="1:16" x14ac:dyDescent="0.25">
      <c r="A14" s="5"/>
      <c r="B14" s="5"/>
      <c r="C14" s="5"/>
      <c r="D14" s="5"/>
      <c r="E14" s="32"/>
      <c r="F14" s="32"/>
      <c r="G14" s="32"/>
      <c r="H14" s="32"/>
      <c r="I14" s="5"/>
      <c r="J14" s="32"/>
      <c r="K14" s="32"/>
      <c r="L14" s="32"/>
      <c r="M14" s="5"/>
      <c r="N14" s="5"/>
      <c r="O14" s="5"/>
      <c r="P14" s="5"/>
    </row>
    <row r="15" spans="1:16" ht="26.25" x14ac:dyDescent="0.4">
      <c r="A15" s="5"/>
      <c r="B15" s="5"/>
      <c r="C15" s="5"/>
      <c r="D15" s="5"/>
      <c r="E15" s="137" t="s">
        <v>38</v>
      </c>
      <c r="F15" s="33">
        <f>SUM(F2:F13)</f>
        <v>370812.35000000003</v>
      </c>
      <c r="G15" s="33">
        <f>SUM(G2:G13)</f>
        <v>322464.5</v>
      </c>
      <c r="H15" s="33">
        <f>SUM(H2:H13)</f>
        <v>48347.85</v>
      </c>
      <c r="I15" s="34"/>
      <c r="J15" s="34"/>
      <c r="K15" s="33">
        <f>SUM(K2:K13)</f>
        <v>6449.29</v>
      </c>
      <c r="L15" s="33">
        <f>SUM(L2:L13)</f>
        <v>364363.05999999994</v>
      </c>
      <c r="M15" s="33">
        <f>SUM(M2:M13)</f>
        <v>364362</v>
      </c>
      <c r="N15" s="5"/>
      <c r="O15" s="5"/>
      <c r="P15" s="5"/>
    </row>
    <row r="16" spans="1:16" ht="18.75" x14ac:dyDescent="0.3">
      <c r="E16" s="48" t="s">
        <v>39</v>
      </c>
    </row>
    <row r="17" spans="13:16" x14ac:dyDescent="0.25">
      <c r="N17" s="112">
        <f>L3-M3</f>
        <v>6.4999999999599822E-2</v>
      </c>
      <c r="P17" s="17">
        <v>203458</v>
      </c>
    </row>
    <row r="18" spans="13:16" x14ac:dyDescent="0.25">
      <c r="P18">
        <v>16759.68</v>
      </c>
    </row>
    <row r="19" spans="13:16" x14ac:dyDescent="0.25">
      <c r="M19" s="125">
        <v>84275</v>
      </c>
      <c r="P19">
        <f>SUM(P17:P18)</f>
        <v>220217.68</v>
      </c>
    </row>
    <row r="20" spans="13:16" x14ac:dyDescent="0.25">
      <c r="M20" s="125">
        <v>10628</v>
      </c>
    </row>
    <row r="21" spans="13:16" x14ac:dyDescent="0.25">
      <c r="M21" s="125">
        <f>SUM(M19:M20)</f>
        <v>94903</v>
      </c>
    </row>
  </sheetData>
  <hyperlinks>
    <hyperlink ref="E15" location="HOME!A1" display="HOME" xr:uid="{00000000-0004-0000-1200-000000000000}"/>
    <hyperlink ref="E16" location="MONTHWISE!A1" display="Monthwise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/>
  <dimension ref="A1:P22"/>
  <sheetViews>
    <sheetView workbookViewId="0">
      <selection activeCell="E17" sqref="E17"/>
    </sheetView>
  </sheetViews>
  <sheetFormatPr defaultColWidth="9.140625" defaultRowHeight="12.75" x14ac:dyDescent="0.2"/>
  <cols>
    <col min="1" max="1" width="12.42578125" style="39" bestFit="1" customWidth="1"/>
    <col min="2" max="2" width="5.5703125" style="39" bestFit="1" customWidth="1"/>
    <col min="3" max="3" width="25.140625" style="39" bestFit="1" customWidth="1"/>
    <col min="4" max="4" width="5.5703125" style="123" bestFit="1" customWidth="1"/>
    <col min="5" max="5" width="19.5703125" style="71" bestFit="1" customWidth="1"/>
    <col min="6" max="6" width="10.42578125" style="42" bestFit="1" customWidth="1"/>
    <col min="7" max="7" width="9.28515625" style="32" bestFit="1" customWidth="1"/>
    <col min="8" max="8" width="8.7109375" style="42" bestFit="1" customWidth="1"/>
    <col min="9" max="9" width="10.7109375" style="39" bestFit="1" customWidth="1"/>
    <col min="10" max="10" width="9.28515625" style="71" bestFit="1" customWidth="1"/>
    <col min="11" max="11" width="6.5703125" style="32" bestFit="1" customWidth="1"/>
    <col min="12" max="12" width="12.140625" style="42" bestFit="1" customWidth="1"/>
    <col min="13" max="13" width="13.5703125" style="42" bestFit="1" customWidth="1"/>
    <col min="14" max="14" width="14.85546875" style="39" bestFit="1" customWidth="1"/>
    <col min="15" max="15" width="5.42578125" style="39" bestFit="1" customWidth="1"/>
    <col min="16" max="16" width="8.5703125" style="39" bestFit="1" customWidth="1"/>
    <col min="17" max="16384" width="9.140625" style="39"/>
  </cols>
  <sheetData>
    <row r="1" spans="1:16" x14ac:dyDescent="0.2">
      <c r="A1" s="35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">
      <c r="A2" s="65" t="s">
        <v>277</v>
      </c>
      <c r="B2" s="65"/>
      <c r="C2" s="65" t="s">
        <v>311</v>
      </c>
      <c r="D2" s="122" t="s">
        <v>61</v>
      </c>
      <c r="E2" s="66" t="s">
        <v>312</v>
      </c>
      <c r="F2" s="67">
        <f>SUM(G2:H2)</f>
        <v>56267.136749999991</v>
      </c>
      <c r="G2" s="67">
        <f>515031/1000*95</f>
        <v>48927.944999999992</v>
      </c>
      <c r="H2" s="67">
        <f>G2*15%</f>
        <v>7339.191749999999</v>
      </c>
      <c r="I2" s="124">
        <v>42563</v>
      </c>
      <c r="J2" s="124">
        <f>I2+30</f>
        <v>42593</v>
      </c>
      <c r="K2" s="67">
        <f>G2*2%</f>
        <v>978.55889999999988</v>
      </c>
      <c r="L2" s="67">
        <f>F2-K2</f>
        <v>55288.577849999994</v>
      </c>
      <c r="M2" s="67">
        <v>55288</v>
      </c>
      <c r="N2" s="65" t="s">
        <v>313</v>
      </c>
      <c r="O2" s="10" t="s">
        <v>44</v>
      </c>
      <c r="P2" s="68" t="s">
        <v>122</v>
      </c>
    </row>
    <row r="3" spans="1:16" x14ac:dyDescent="0.2">
      <c r="A3" s="65" t="s">
        <v>449</v>
      </c>
      <c r="B3" s="65"/>
      <c r="C3" s="65" t="s">
        <v>446</v>
      </c>
      <c r="D3" s="122" t="s">
        <v>61</v>
      </c>
      <c r="E3" s="66" t="s">
        <v>445</v>
      </c>
      <c r="F3" s="67">
        <f t="shared" ref="F3:F15" si="0">SUM(G3:H3)</f>
        <v>86110.159999999989</v>
      </c>
      <c r="G3" s="67">
        <f>748784/1000*100</f>
        <v>74878.399999999994</v>
      </c>
      <c r="H3" s="67">
        <f t="shared" ref="H3:H15" si="1">G3*15%</f>
        <v>11231.759999999998</v>
      </c>
      <c r="I3" s="65"/>
      <c r="J3" s="66" t="s">
        <v>153</v>
      </c>
      <c r="K3" s="67">
        <f t="shared" ref="K3:K15" si="2">G3*2%</f>
        <v>1497.568</v>
      </c>
      <c r="L3" s="67">
        <f t="shared" ref="L3:L15" si="3">F3-K3</f>
        <v>84612.59199999999</v>
      </c>
      <c r="M3" s="67">
        <v>84612</v>
      </c>
      <c r="N3" s="65" t="s">
        <v>454</v>
      </c>
      <c r="O3" s="10" t="s">
        <v>44</v>
      </c>
      <c r="P3" s="68" t="s">
        <v>122</v>
      </c>
    </row>
    <row r="4" spans="1:16" x14ac:dyDescent="0.2">
      <c r="A4" s="65" t="s">
        <v>449</v>
      </c>
      <c r="B4" s="65"/>
      <c r="C4" s="65" t="s">
        <v>448</v>
      </c>
      <c r="D4" s="122" t="s">
        <v>61</v>
      </c>
      <c r="E4" s="66" t="s">
        <v>447</v>
      </c>
      <c r="F4" s="67">
        <f t="shared" si="0"/>
        <v>87400</v>
      </c>
      <c r="G4" s="67">
        <f>800000/1000*95</f>
        <v>76000</v>
      </c>
      <c r="H4" s="67">
        <f t="shared" si="1"/>
        <v>11400</v>
      </c>
      <c r="I4" s="65"/>
      <c r="J4" s="66" t="s">
        <v>153</v>
      </c>
      <c r="K4" s="67">
        <f t="shared" si="2"/>
        <v>1520</v>
      </c>
      <c r="L4" s="67">
        <f t="shared" si="3"/>
        <v>85880</v>
      </c>
      <c r="M4" s="67">
        <v>85880</v>
      </c>
      <c r="N4" s="65" t="s">
        <v>477</v>
      </c>
      <c r="O4" s="10" t="s">
        <v>44</v>
      </c>
      <c r="P4" s="68" t="s">
        <v>122</v>
      </c>
    </row>
    <row r="5" spans="1:16" x14ac:dyDescent="0.2">
      <c r="A5" s="65" t="s">
        <v>449</v>
      </c>
      <c r="B5" s="65"/>
      <c r="C5" s="65" t="s">
        <v>451</v>
      </c>
      <c r="D5" s="122" t="s">
        <v>61</v>
      </c>
      <c r="E5" s="66" t="s">
        <v>450</v>
      </c>
      <c r="F5" s="67">
        <f t="shared" si="0"/>
        <v>103500</v>
      </c>
      <c r="G5" s="67">
        <f>1000000/1000*90</f>
        <v>90000</v>
      </c>
      <c r="H5" s="67">
        <f t="shared" si="1"/>
        <v>13500</v>
      </c>
      <c r="I5" s="65"/>
      <c r="J5" s="66" t="s">
        <v>153</v>
      </c>
      <c r="K5" s="67">
        <f t="shared" si="2"/>
        <v>1800</v>
      </c>
      <c r="L5" s="67">
        <f t="shared" si="3"/>
        <v>101700</v>
      </c>
      <c r="M5" s="67">
        <v>101700</v>
      </c>
      <c r="N5" s="65" t="s">
        <v>504</v>
      </c>
      <c r="O5" s="10" t="s">
        <v>44</v>
      </c>
      <c r="P5" s="68" t="s">
        <v>122</v>
      </c>
    </row>
    <row r="6" spans="1:16" x14ac:dyDescent="0.2">
      <c r="A6" s="65" t="s">
        <v>499</v>
      </c>
      <c r="B6" s="65"/>
      <c r="C6" s="65" t="s">
        <v>501</v>
      </c>
      <c r="D6" s="122" t="s">
        <v>95</v>
      </c>
      <c r="E6" s="66" t="s">
        <v>500</v>
      </c>
      <c r="F6" s="67">
        <f t="shared" si="0"/>
        <v>71875</v>
      </c>
      <c r="G6" s="67">
        <f>250000*0.25</f>
        <v>62500</v>
      </c>
      <c r="H6" s="67">
        <f t="shared" si="1"/>
        <v>9375</v>
      </c>
      <c r="I6" s="124">
        <v>42675</v>
      </c>
      <c r="J6" s="124">
        <f>I6+30</f>
        <v>42705</v>
      </c>
      <c r="K6" s="67">
        <f t="shared" si="2"/>
        <v>1250</v>
      </c>
      <c r="L6" s="67">
        <f t="shared" si="3"/>
        <v>70625</v>
      </c>
      <c r="M6" s="67">
        <v>70625</v>
      </c>
      <c r="N6" s="65" t="s">
        <v>710</v>
      </c>
      <c r="O6" s="10" t="s">
        <v>44</v>
      </c>
      <c r="P6" s="68" t="s">
        <v>122</v>
      </c>
    </row>
    <row r="7" spans="1:16" x14ac:dyDescent="0.2">
      <c r="A7" s="65" t="s">
        <v>514</v>
      </c>
      <c r="B7" s="65"/>
      <c r="C7" s="65" t="s">
        <v>523</v>
      </c>
      <c r="D7" s="122" t="s">
        <v>61</v>
      </c>
      <c r="E7" s="66" t="s">
        <v>522</v>
      </c>
      <c r="F7" s="67">
        <f t="shared" si="0"/>
        <v>153525</v>
      </c>
      <c r="G7" s="67">
        <v>133500</v>
      </c>
      <c r="H7" s="67">
        <f t="shared" si="1"/>
        <v>20025</v>
      </c>
      <c r="I7" s="124">
        <v>42694</v>
      </c>
      <c r="J7" s="124">
        <f>I7+30</f>
        <v>42724</v>
      </c>
      <c r="K7" s="67">
        <f t="shared" si="2"/>
        <v>2670</v>
      </c>
      <c r="L7" s="67">
        <f t="shared" si="3"/>
        <v>150855</v>
      </c>
      <c r="M7" s="67">
        <v>150855</v>
      </c>
      <c r="N7" s="65" t="s">
        <v>653</v>
      </c>
      <c r="O7" s="10" t="s">
        <v>44</v>
      </c>
      <c r="P7" s="68" t="s">
        <v>122</v>
      </c>
    </row>
    <row r="8" spans="1:16" x14ac:dyDescent="0.2">
      <c r="A8" s="65" t="s">
        <v>613</v>
      </c>
      <c r="B8" s="65"/>
      <c r="C8" s="65" t="s">
        <v>618</v>
      </c>
      <c r="D8" s="122" t="s">
        <v>61</v>
      </c>
      <c r="E8" s="66" t="s">
        <v>617</v>
      </c>
      <c r="F8" s="67">
        <f t="shared" si="0"/>
        <v>76475</v>
      </c>
      <c r="G8" s="67">
        <v>66500</v>
      </c>
      <c r="H8" s="67">
        <f t="shared" si="1"/>
        <v>9975</v>
      </c>
      <c r="I8" s="124">
        <v>43100</v>
      </c>
      <c r="J8" s="124">
        <f>I8+30</f>
        <v>43130</v>
      </c>
      <c r="K8" s="67">
        <f t="shared" si="2"/>
        <v>1330</v>
      </c>
      <c r="L8" s="67">
        <f t="shared" si="3"/>
        <v>75145</v>
      </c>
      <c r="M8" s="67">
        <v>75145</v>
      </c>
      <c r="N8" s="65" t="s">
        <v>834</v>
      </c>
      <c r="O8" s="10" t="s">
        <v>44</v>
      </c>
      <c r="P8" s="68" t="s">
        <v>122</v>
      </c>
    </row>
    <row r="9" spans="1:16" x14ac:dyDescent="0.2">
      <c r="A9" s="65" t="s">
        <v>656</v>
      </c>
      <c r="B9" s="65"/>
      <c r="C9" s="65" t="s">
        <v>655</v>
      </c>
      <c r="D9" s="122" t="s">
        <v>61</v>
      </c>
      <c r="E9" s="66" t="s">
        <v>654</v>
      </c>
      <c r="F9" s="67">
        <f t="shared" si="0"/>
        <v>38756.15</v>
      </c>
      <c r="G9" s="67">
        <v>33701</v>
      </c>
      <c r="H9" s="67">
        <f t="shared" si="1"/>
        <v>5055.1499999999996</v>
      </c>
      <c r="I9" s="65"/>
      <c r="J9" s="66" t="s">
        <v>153</v>
      </c>
      <c r="K9" s="67">
        <f t="shared" si="2"/>
        <v>674.02</v>
      </c>
      <c r="L9" s="67">
        <f t="shared" si="3"/>
        <v>38082.130000000005</v>
      </c>
      <c r="M9" s="67">
        <v>38082</v>
      </c>
      <c r="N9" s="65" t="s">
        <v>834</v>
      </c>
      <c r="O9" s="10" t="s">
        <v>44</v>
      </c>
      <c r="P9" s="68" t="s">
        <v>122</v>
      </c>
    </row>
    <row r="10" spans="1:16" x14ac:dyDescent="0.2">
      <c r="A10" s="20" t="s">
        <v>725</v>
      </c>
      <c r="B10" s="20"/>
      <c r="C10" s="226" t="s">
        <v>728</v>
      </c>
      <c r="D10" s="227" t="s">
        <v>61</v>
      </c>
      <c r="E10" s="228" t="s">
        <v>727</v>
      </c>
      <c r="F10" s="229">
        <f t="shared" si="0"/>
        <v>319635.59999999998</v>
      </c>
      <c r="G10" s="229">
        <v>277944</v>
      </c>
      <c r="H10" s="229">
        <f t="shared" si="1"/>
        <v>41691.599999999999</v>
      </c>
      <c r="I10" s="230">
        <v>42774</v>
      </c>
      <c r="J10" s="231">
        <f t="shared" ref="J10:J11" si="4">I10+30</f>
        <v>42804</v>
      </c>
      <c r="K10" s="229">
        <f t="shared" si="2"/>
        <v>5558.88</v>
      </c>
      <c r="L10" s="229">
        <f t="shared" si="3"/>
        <v>314076.71999999997</v>
      </c>
      <c r="M10" s="22"/>
      <c r="N10" s="20"/>
      <c r="O10" s="20"/>
      <c r="P10" s="121"/>
    </row>
    <row r="11" spans="1:16" x14ac:dyDescent="0.2">
      <c r="A11" s="20" t="s">
        <v>725</v>
      </c>
      <c r="B11" s="20"/>
      <c r="C11" s="226" t="s">
        <v>730</v>
      </c>
      <c r="D11" s="227" t="s">
        <v>61</v>
      </c>
      <c r="E11" s="228" t="s">
        <v>729</v>
      </c>
      <c r="F11" s="232">
        <f t="shared" si="0"/>
        <v>327750</v>
      </c>
      <c r="G11" s="232">
        <v>285000</v>
      </c>
      <c r="H11" s="232">
        <f t="shared" si="1"/>
        <v>42750</v>
      </c>
      <c r="I11" s="230">
        <v>42774</v>
      </c>
      <c r="J11" s="231">
        <f t="shared" si="4"/>
        <v>42804</v>
      </c>
      <c r="K11" s="232">
        <f t="shared" si="2"/>
        <v>5700</v>
      </c>
      <c r="L11" s="232">
        <f t="shared" si="3"/>
        <v>322050</v>
      </c>
      <c r="M11" s="44"/>
      <c r="N11" s="20"/>
      <c r="O11" s="20"/>
      <c r="P11" s="121"/>
    </row>
    <row r="12" spans="1:16" x14ac:dyDescent="0.2">
      <c r="A12" s="20" t="s">
        <v>735</v>
      </c>
      <c r="B12" s="20"/>
      <c r="C12" s="226" t="s">
        <v>732</v>
      </c>
      <c r="D12" s="227" t="s">
        <v>95</v>
      </c>
      <c r="E12" s="228" t="s">
        <v>731</v>
      </c>
      <c r="F12" s="232">
        <f t="shared" si="0"/>
        <v>276000</v>
      </c>
      <c r="G12" s="232">
        <v>240000</v>
      </c>
      <c r="H12" s="232">
        <f t="shared" si="1"/>
        <v>36000</v>
      </c>
      <c r="I12" s="230"/>
      <c r="J12" s="228" t="s">
        <v>153</v>
      </c>
      <c r="K12" s="232">
        <f t="shared" si="2"/>
        <v>4800</v>
      </c>
      <c r="L12" s="232">
        <f t="shared" si="3"/>
        <v>271200</v>
      </c>
      <c r="M12" s="44"/>
      <c r="N12" s="20"/>
      <c r="O12" s="20"/>
      <c r="P12" s="121"/>
    </row>
    <row r="13" spans="1:16" x14ac:dyDescent="0.2">
      <c r="A13" s="65" t="s">
        <v>735</v>
      </c>
      <c r="B13" s="65"/>
      <c r="C13" s="65" t="s">
        <v>734</v>
      </c>
      <c r="D13" s="122" t="s">
        <v>61</v>
      </c>
      <c r="E13" s="66" t="s">
        <v>733</v>
      </c>
      <c r="F13" s="75">
        <f t="shared" si="0"/>
        <v>65550</v>
      </c>
      <c r="G13" s="75">
        <v>57000</v>
      </c>
      <c r="H13" s="75">
        <f t="shared" si="1"/>
        <v>8550</v>
      </c>
      <c r="I13" s="225"/>
      <c r="J13" s="66" t="s">
        <v>153</v>
      </c>
      <c r="K13" s="75">
        <f t="shared" si="2"/>
        <v>1140</v>
      </c>
      <c r="L13" s="75">
        <f t="shared" si="3"/>
        <v>64410</v>
      </c>
      <c r="M13" s="75">
        <v>64410</v>
      </c>
      <c r="N13" s="65" t="s">
        <v>865</v>
      </c>
      <c r="O13" s="10" t="s">
        <v>44</v>
      </c>
      <c r="P13" s="68" t="s">
        <v>122</v>
      </c>
    </row>
    <row r="14" spans="1:16" x14ac:dyDescent="0.2">
      <c r="A14" s="20"/>
      <c r="B14" s="20"/>
      <c r="C14" s="20"/>
      <c r="D14" s="21"/>
      <c r="E14" s="86"/>
      <c r="F14" s="44">
        <f t="shared" si="0"/>
        <v>0</v>
      </c>
      <c r="G14" s="44"/>
      <c r="H14" s="44">
        <f t="shared" si="1"/>
        <v>0</v>
      </c>
      <c r="I14" s="17"/>
      <c r="J14" s="86"/>
      <c r="K14" s="44">
        <f t="shared" si="2"/>
        <v>0</v>
      </c>
      <c r="L14" s="44">
        <f t="shared" si="3"/>
        <v>0</v>
      </c>
      <c r="M14" s="44"/>
      <c r="N14" s="20"/>
      <c r="O14" s="20"/>
      <c r="P14" s="121"/>
    </row>
    <row r="15" spans="1:16" x14ac:dyDescent="0.2">
      <c r="A15" s="28"/>
      <c r="B15" s="28"/>
      <c r="C15" s="28"/>
      <c r="D15" s="29"/>
      <c r="E15" s="86"/>
      <c r="F15" s="44">
        <f t="shared" si="0"/>
        <v>0</v>
      </c>
      <c r="G15" s="44"/>
      <c r="H15" s="44">
        <f t="shared" si="1"/>
        <v>0</v>
      </c>
      <c r="I15" s="17"/>
      <c r="J15" s="86"/>
      <c r="K15" s="44">
        <f t="shared" si="2"/>
        <v>0</v>
      </c>
      <c r="L15" s="44">
        <f t="shared" si="3"/>
        <v>0</v>
      </c>
      <c r="M15" s="44"/>
      <c r="N15" s="28"/>
      <c r="O15" s="28"/>
      <c r="P15" s="43"/>
    </row>
    <row r="17" spans="5:13" ht="23.25" x14ac:dyDescent="0.35">
      <c r="E17" s="46" t="s">
        <v>38</v>
      </c>
      <c r="F17" s="33">
        <f>SUM(F2:F15)</f>
        <v>1662844.04675</v>
      </c>
      <c r="G17" s="33">
        <f t="shared" ref="G17:M17" si="5">SUM(G2:G15)</f>
        <v>1445951.345</v>
      </c>
      <c r="H17" s="33">
        <f t="shared" si="5"/>
        <v>216892.70174999998</v>
      </c>
      <c r="I17" s="34"/>
      <c r="J17" s="34"/>
      <c r="K17" s="33">
        <f t="shared" si="5"/>
        <v>28919.026900000001</v>
      </c>
      <c r="L17" s="33">
        <f t="shared" si="5"/>
        <v>1633925.0198499998</v>
      </c>
      <c r="M17" s="33">
        <f t="shared" si="5"/>
        <v>726597</v>
      </c>
    </row>
    <row r="18" spans="5:13" ht="18.75" x14ac:dyDescent="0.3">
      <c r="E18" s="48" t="s">
        <v>39</v>
      </c>
    </row>
    <row r="21" spans="5:13" ht="15" x14ac:dyDescent="0.25">
      <c r="M21" s="125"/>
    </row>
    <row r="22" spans="5:13" x14ac:dyDescent="0.2">
      <c r="J22" s="71" t="s">
        <v>866</v>
      </c>
    </row>
  </sheetData>
  <hyperlinks>
    <hyperlink ref="E17" location="HOME!A1" display="HOME" xr:uid="{00000000-0004-0000-1300-000000000000}"/>
    <hyperlink ref="E18" location="MONTHWISE!A1" display="Monthwise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8"/>
  <dimension ref="A1:Q15"/>
  <sheetViews>
    <sheetView workbookViewId="0">
      <selection activeCell="E14" sqref="E14"/>
    </sheetView>
  </sheetViews>
  <sheetFormatPr defaultColWidth="9.140625" defaultRowHeight="12" x14ac:dyDescent="0.2"/>
  <cols>
    <col min="1" max="1" width="11.85546875" style="90" bestFit="1" customWidth="1"/>
    <col min="2" max="2" width="5.5703125" style="90" bestFit="1" customWidth="1"/>
    <col min="3" max="3" width="8.7109375" style="90" bestFit="1" customWidth="1"/>
    <col min="4" max="4" width="12.140625" style="90" bestFit="1" customWidth="1"/>
    <col min="5" max="5" width="21.5703125" style="134" bestFit="1" customWidth="1"/>
    <col min="6" max="6" width="10.42578125" style="108" bestFit="1" customWidth="1"/>
    <col min="7" max="7" width="9.28515625" style="133" bestFit="1" customWidth="1"/>
    <col min="8" max="8" width="8.7109375" style="108" bestFit="1" customWidth="1"/>
    <col min="9" max="9" width="10.7109375" style="90" bestFit="1" customWidth="1"/>
    <col min="10" max="10" width="7.42578125" style="134" bestFit="1" customWidth="1"/>
    <col min="11" max="11" width="6.5703125" style="133" bestFit="1" customWidth="1"/>
    <col min="12" max="12" width="12.140625" style="108" bestFit="1" customWidth="1"/>
    <col min="13" max="13" width="13.5703125" style="90" bestFit="1" customWidth="1"/>
    <col min="14" max="14" width="14.85546875" style="90" bestFit="1" customWidth="1"/>
    <col min="15" max="15" width="5.42578125" style="90" bestFit="1" customWidth="1"/>
    <col min="16" max="16" width="8.5703125" style="90" bestFit="1" customWidth="1"/>
    <col min="17" max="17" width="16.42578125" style="90" bestFit="1" customWidth="1"/>
    <col min="18" max="16384" width="9.140625" style="90"/>
  </cols>
  <sheetData>
    <row r="1" spans="1:17" x14ac:dyDescent="0.2">
      <c r="A1" s="127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7" ht="12.75" x14ac:dyDescent="0.2">
      <c r="A2" s="100" t="s">
        <v>205</v>
      </c>
      <c r="B2" s="100"/>
      <c r="C2" s="100"/>
      <c r="D2" s="100" t="s">
        <v>124</v>
      </c>
      <c r="E2" s="66" t="s">
        <v>309</v>
      </c>
      <c r="F2" s="75">
        <f t="shared" ref="F2:F10" si="0">SUM(G2:H2)</f>
        <v>75856.3</v>
      </c>
      <c r="G2" s="67">
        <v>65962</v>
      </c>
      <c r="H2" s="75">
        <f t="shared" ref="H2:H10" si="1">G2*15%</f>
        <v>9894.2999999999993</v>
      </c>
      <c r="I2" s="124">
        <v>42583</v>
      </c>
      <c r="J2" s="124">
        <f>I2+30</f>
        <v>42613</v>
      </c>
      <c r="K2" s="75">
        <f t="shared" ref="K2:K10" si="2">G2*2%</f>
        <v>1319.24</v>
      </c>
      <c r="L2" s="75">
        <f t="shared" ref="L2:L10" si="3">F2-K2</f>
        <v>74537.06</v>
      </c>
      <c r="M2" s="100">
        <v>74549</v>
      </c>
      <c r="N2" s="100" t="s">
        <v>479</v>
      </c>
      <c r="O2" s="10" t="s">
        <v>44</v>
      </c>
      <c r="P2" s="68" t="s">
        <v>122</v>
      </c>
    </row>
    <row r="3" spans="1:17" ht="12.75" x14ac:dyDescent="0.2">
      <c r="A3" s="100" t="s">
        <v>458</v>
      </c>
      <c r="B3" s="100"/>
      <c r="C3" s="100"/>
      <c r="D3" s="100" t="s">
        <v>467</v>
      </c>
      <c r="E3" s="181" t="s">
        <v>466</v>
      </c>
      <c r="F3" s="75">
        <f t="shared" si="0"/>
        <v>412590.1</v>
      </c>
      <c r="G3" s="67">
        <v>358774</v>
      </c>
      <c r="H3" s="75">
        <f t="shared" si="1"/>
        <v>53816.1</v>
      </c>
      <c r="I3" s="124">
        <v>42614</v>
      </c>
      <c r="J3" s="124">
        <f>I3+30</f>
        <v>42644</v>
      </c>
      <c r="K3" s="75">
        <f t="shared" si="2"/>
        <v>7175.4800000000005</v>
      </c>
      <c r="L3" s="75">
        <f t="shared" si="3"/>
        <v>405414.62</v>
      </c>
      <c r="M3" s="100">
        <v>405415</v>
      </c>
      <c r="N3" s="100" t="s">
        <v>497</v>
      </c>
      <c r="O3" s="10" t="s">
        <v>44</v>
      </c>
      <c r="P3" s="68" t="s">
        <v>122</v>
      </c>
    </row>
    <row r="4" spans="1:17" ht="12.75" x14ac:dyDescent="0.2">
      <c r="A4" s="100" t="s">
        <v>499</v>
      </c>
      <c r="B4" s="100"/>
      <c r="C4" s="100"/>
      <c r="D4" s="100" t="s">
        <v>467</v>
      </c>
      <c r="E4" s="100" t="s">
        <v>502</v>
      </c>
      <c r="F4" s="75">
        <f t="shared" si="0"/>
        <v>35137.1</v>
      </c>
      <c r="G4" s="67">
        <v>30554</v>
      </c>
      <c r="H4" s="75">
        <f t="shared" si="1"/>
        <v>4583.0999999999995</v>
      </c>
      <c r="I4" s="124">
        <v>42676</v>
      </c>
      <c r="J4" s="124">
        <f t="shared" ref="J4:J10" si="4">I4+30</f>
        <v>42706</v>
      </c>
      <c r="K4" s="75">
        <f t="shared" si="2"/>
        <v>611.08000000000004</v>
      </c>
      <c r="L4" s="75">
        <f t="shared" si="3"/>
        <v>34526.019999999997</v>
      </c>
      <c r="M4" s="100">
        <v>34526</v>
      </c>
      <c r="N4" s="100" t="s">
        <v>530</v>
      </c>
      <c r="O4" s="10" t="s">
        <v>44</v>
      </c>
      <c r="P4" s="68" t="s">
        <v>122</v>
      </c>
    </row>
    <row r="5" spans="1:17" ht="12.75" x14ac:dyDescent="0.2">
      <c r="A5" s="100" t="s">
        <v>560</v>
      </c>
      <c r="B5" s="100"/>
      <c r="C5" s="100"/>
      <c r="D5" s="100"/>
      <c r="E5" s="101" t="s">
        <v>599</v>
      </c>
      <c r="F5" s="75">
        <f t="shared" si="0"/>
        <v>327958.15000000002</v>
      </c>
      <c r="G5" s="67">
        <v>285181</v>
      </c>
      <c r="H5" s="75">
        <f t="shared" si="1"/>
        <v>42777.15</v>
      </c>
      <c r="I5" s="65"/>
      <c r="J5" s="124">
        <f t="shared" si="4"/>
        <v>30</v>
      </c>
      <c r="K5" s="75">
        <f t="shared" si="2"/>
        <v>5703.62</v>
      </c>
      <c r="L5" s="75">
        <f t="shared" si="3"/>
        <v>322254.53000000003</v>
      </c>
      <c r="M5" s="100">
        <v>322254</v>
      </c>
      <c r="N5" s="100" t="s">
        <v>600</v>
      </c>
      <c r="O5" s="10" t="s">
        <v>44</v>
      </c>
      <c r="P5" s="68" t="s">
        <v>122</v>
      </c>
    </row>
    <row r="6" spans="1:17" ht="12.75" x14ac:dyDescent="0.2">
      <c r="A6" s="100" t="s">
        <v>697</v>
      </c>
      <c r="B6" s="100"/>
      <c r="C6" s="100"/>
      <c r="D6" s="100"/>
      <c r="E6" s="101" t="s">
        <v>707</v>
      </c>
      <c r="F6" s="75">
        <f t="shared" si="0"/>
        <v>146689.4</v>
      </c>
      <c r="G6" s="67">
        <v>127556</v>
      </c>
      <c r="H6" s="75">
        <f t="shared" si="1"/>
        <v>19133.399999999998</v>
      </c>
      <c r="I6" s="65"/>
      <c r="J6" s="124">
        <f t="shared" si="4"/>
        <v>30</v>
      </c>
      <c r="K6" s="75">
        <f t="shared" si="2"/>
        <v>2551.12</v>
      </c>
      <c r="L6" s="75">
        <f t="shared" si="3"/>
        <v>144138.28</v>
      </c>
      <c r="M6" s="100">
        <v>144139</v>
      </c>
      <c r="N6" s="100" t="s">
        <v>739</v>
      </c>
      <c r="O6" s="10" t="s">
        <v>44</v>
      </c>
      <c r="P6" s="68" t="s">
        <v>122</v>
      </c>
    </row>
    <row r="7" spans="1:17" ht="12.75" x14ac:dyDescent="0.2">
      <c r="A7" s="100" t="s">
        <v>769</v>
      </c>
      <c r="B7" s="100"/>
      <c r="C7" s="100"/>
      <c r="D7" s="100" t="s">
        <v>467</v>
      </c>
      <c r="E7" s="101" t="s">
        <v>768</v>
      </c>
      <c r="F7" s="75">
        <f t="shared" si="0"/>
        <v>275379</v>
      </c>
      <c r="G7" s="67">
        <v>239460</v>
      </c>
      <c r="H7" s="75">
        <f t="shared" si="1"/>
        <v>35919</v>
      </c>
      <c r="I7" s="65"/>
      <c r="J7" s="124">
        <f t="shared" si="4"/>
        <v>30</v>
      </c>
      <c r="K7" s="75">
        <f t="shared" si="2"/>
        <v>4789.2</v>
      </c>
      <c r="L7" s="75">
        <f t="shared" si="3"/>
        <v>270589.8</v>
      </c>
      <c r="M7" s="100">
        <v>270590</v>
      </c>
      <c r="N7" s="100" t="s">
        <v>834</v>
      </c>
      <c r="O7" s="10" t="s">
        <v>44</v>
      </c>
      <c r="P7" s="68" t="s">
        <v>122</v>
      </c>
    </row>
    <row r="8" spans="1:17" ht="12.75" x14ac:dyDescent="0.2">
      <c r="A8" s="45"/>
      <c r="B8" s="45"/>
      <c r="C8" s="45"/>
      <c r="D8" s="105"/>
      <c r="E8" s="97"/>
      <c r="F8" s="44">
        <f t="shared" si="0"/>
        <v>0</v>
      </c>
      <c r="G8" s="22"/>
      <c r="H8" s="44">
        <f t="shared" si="1"/>
        <v>0</v>
      </c>
      <c r="I8" s="20"/>
      <c r="J8" s="130">
        <f t="shared" si="4"/>
        <v>30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7" ht="12.75" x14ac:dyDescent="0.2">
      <c r="A9" s="45"/>
      <c r="B9" s="45"/>
      <c r="C9" s="45"/>
      <c r="D9" s="105"/>
      <c r="E9" s="97"/>
      <c r="F9" s="44">
        <f t="shared" si="0"/>
        <v>0</v>
      </c>
      <c r="G9" s="22"/>
      <c r="H9" s="44">
        <f t="shared" si="1"/>
        <v>0</v>
      </c>
      <c r="I9" s="20"/>
      <c r="J9" s="130">
        <f t="shared" si="4"/>
        <v>30</v>
      </c>
      <c r="K9" s="44">
        <f t="shared" si="2"/>
        <v>0</v>
      </c>
      <c r="L9" s="44">
        <f t="shared" si="3"/>
        <v>0</v>
      </c>
      <c r="M9" s="45"/>
      <c r="N9" s="45"/>
      <c r="O9" s="45"/>
      <c r="P9" s="99"/>
      <c r="Q9" s="90" t="s">
        <v>310</v>
      </c>
    </row>
    <row r="10" spans="1:17" ht="12.75" x14ac:dyDescent="0.2">
      <c r="A10" s="45"/>
      <c r="B10" s="45"/>
      <c r="C10" s="45"/>
      <c r="D10" s="45"/>
      <c r="E10" s="97"/>
      <c r="F10" s="44">
        <f t="shared" si="0"/>
        <v>0</v>
      </c>
      <c r="G10" s="22"/>
      <c r="H10" s="44">
        <f t="shared" si="1"/>
        <v>0</v>
      </c>
      <c r="I10" s="20"/>
      <c r="J10" s="130">
        <f t="shared" si="4"/>
        <v>30</v>
      </c>
      <c r="K10" s="44">
        <f t="shared" si="2"/>
        <v>0</v>
      </c>
      <c r="L10" s="44">
        <f t="shared" si="3"/>
        <v>0</v>
      </c>
      <c r="M10" s="45"/>
      <c r="N10" s="45"/>
      <c r="O10" s="45"/>
      <c r="P10" s="99"/>
    </row>
    <row r="11" spans="1:17" x14ac:dyDescent="0.2">
      <c r="A11" s="45"/>
      <c r="B11" s="45"/>
      <c r="C11" s="45"/>
      <c r="D11" s="45"/>
      <c r="E11" s="97"/>
      <c r="F11" s="98"/>
      <c r="G11" s="98"/>
      <c r="H11" s="98"/>
      <c r="I11" s="45"/>
      <c r="J11" s="97"/>
      <c r="K11" s="98"/>
      <c r="L11" s="98"/>
      <c r="M11" s="45"/>
      <c r="N11" s="45"/>
      <c r="O11" s="45"/>
      <c r="P11" s="99"/>
    </row>
    <row r="12" spans="1:17" x14ac:dyDescent="0.2">
      <c r="A12" s="45"/>
      <c r="B12" s="45"/>
      <c r="C12" s="45"/>
      <c r="D12" s="45"/>
      <c r="E12" s="97"/>
      <c r="F12" s="98"/>
      <c r="G12" s="98"/>
      <c r="H12" s="98"/>
      <c r="I12" s="45"/>
      <c r="J12" s="97"/>
      <c r="K12" s="98"/>
      <c r="L12" s="98"/>
      <c r="M12" s="45"/>
      <c r="N12" s="45"/>
      <c r="O12" s="45"/>
      <c r="P12" s="105"/>
    </row>
    <row r="14" spans="1:17" ht="18.75" x14ac:dyDescent="0.3">
      <c r="E14" s="131" t="s">
        <v>38</v>
      </c>
      <c r="F14" s="107">
        <f>SUM(F2:F12)</f>
        <v>1273610.0499999998</v>
      </c>
      <c r="G14" s="107">
        <f>SUM(G2:G12)</f>
        <v>1107487</v>
      </c>
      <c r="H14" s="107">
        <f>SUM(H2:H12)</f>
        <v>166123.04999999999</v>
      </c>
      <c r="J14" s="90"/>
      <c r="K14" s="107">
        <f t="shared" ref="K14:M14" si="5">SUM(K2:K12)</f>
        <v>22149.74</v>
      </c>
      <c r="L14" s="107">
        <f t="shared" si="5"/>
        <v>1251460.31</v>
      </c>
      <c r="M14" s="106">
        <f t="shared" si="5"/>
        <v>1251473</v>
      </c>
      <c r="N14" s="132">
        <f>L14-M14</f>
        <v>-12.689999999944121</v>
      </c>
    </row>
    <row r="15" spans="1:17" ht="18.75" x14ac:dyDescent="0.3">
      <c r="E15" s="48" t="s">
        <v>39</v>
      </c>
    </row>
  </sheetData>
  <hyperlinks>
    <hyperlink ref="E14" location="HOME!A1" display="HOME" xr:uid="{00000000-0004-0000-1400-000000000000}"/>
    <hyperlink ref="E15" location="MONTHWISE!A1" display="Monthwise" xr:uid="{00000000-0004-0000-14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Q15"/>
  <sheetViews>
    <sheetView workbookViewId="0">
      <selection activeCell="E14" sqref="E14"/>
    </sheetView>
  </sheetViews>
  <sheetFormatPr defaultColWidth="9.140625" defaultRowHeight="12" x14ac:dyDescent="0.2"/>
  <cols>
    <col min="1" max="1" width="11.42578125" style="90" bestFit="1" customWidth="1"/>
    <col min="2" max="2" width="5.5703125" style="90" bestFit="1" customWidth="1"/>
    <col min="3" max="3" width="12.42578125" style="90" bestFit="1" customWidth="1"/>
    <col min="4" max="4" width="8" style="90" bestFit="1" customWidth="1"/>
    <col min="5" max="5" width="16.28515625" style="134" bestFit="1" customWidth="1"/>
    <col min="6" max="6" width="10.42578125" style="108" bestFit="1" customWidth="1"/>
    <col min="7" max="7" width="9.28515625" style="133" bestFit="1" customWidth="1"/>
    <col min="8" max="8" width="8.7109375" style="108" bestFit="1" customWidth="1"/>
    <col min="9" max="9" width="10.7109375" style="90" bestFit="1" customWidth="1"/>
    <col min="10" max="10" width="7.42578125" style="134" bestFit="1" customWidth="1"/>
    <col min="11" max="11" width="6.5703125" style="133" bestFit="1" customWidth="1"/>
    <col min="12" max="12" width="12.140625" style="108" bestFit="1" customWidth="1"/>
    <col min="13" max="13" width="13.5703125" style="90" bestFit="1" customWidth="1"/>
    <col min="14" max="14" width="14.85546875" style="90" bestFit="1" customWidth="1"/>
    <col min="15" max="15" width="5.42578125" style="90" bestFit="1" customWidth="1"/>
    <col min="16" max="16" width="8.5703125" style="90" bestFit="1" customWidth="1"/>
    <col min="17" max="17" width="16.42578125" style="90" bestFit="1" customWidth="1"/>
    <col min="18" max="16384" width="9.140625" style="90"/>
  </cols>
  <sheetData>
    <row r="1" spans="1:17" x14ac:dyDescent="0.2">
      <c r="A1" s="127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7" ht="12.75" x14ac:dyDescent="0.2">
      <c r="A2" s="100" t="s">
        <v>304</v>
      </c>
      <c r="B2" s="100"/>
      <c r="C2" s="100"/>
      <c r="D2" s="100" t="s">
        <v>124</v>
      </c>
      <c r="E2" s="66" t="s">
        <v>325</v>
      </c>
      <c r="F2" s="75">
        <f t="shared" ref="F2:F10" si="0">SUM(G2:H2)</f>
        <v>10143</v>
      </c>
      <c r="G2" s="67">
        <v>8820</v>
      </c>
      <c r="H2" s="75">
        <f t="shared" ref="H2:H10" si="1">G2*15%</f>
        <v>1323</v>
      </c>
      <c r="I2" s="124"/>
      <c r="J2" s="124"/>
      <c r="K2" s="75">
        <f t="shared" ref="K2:K10" si="2">G2*2%</f>
        <v>176.4</v>
      </c>
      <c r="L2" s="75">
        <f t="shared" ref="L2:L10" si="3">F2-K2</f>
        <v>9966.6</v>
      </c>
      <c r="M2" s="100">
        <v>9967</v>
      </c>
      <c r="N2" s="100" t="s">
        <v>456</v>
      </c>
      <c r="O2" s="10" t="s">
        <v>44</v>
      </c>
      <c r="P2" s="68" t="s">
        <v>122</v>
      </c>
    </row>
    <row r="3" spans="1:17" ht="12.75" x14ac:dyDescent="0.2">
      <c r="A3" s="100" t="s">
        <v>458</v>
      </c>
      <c r="B3" s="100"/>
      <c r="C3" s="100"/>
      <c r="D3" s="100" t="s">
        <v>469</v>
      </c>
      <c r="E3" s="101" t="s">
        <v>472</v>
      </c>
      <c r="F3" s="75">
        <f t="shared" si="0"/>
        <v>39746.300000000003</v>
      </c>
      <c r="G3" s="67">
        <v>34562</v>
      </c>
      <c r="H3" s="75">
        <f t="shared" si="1"/>
        <v>5184.3</v>
      </c>
      <c r="I3" s="124">
        <v>42647</v>
      </c>
      <c r="J3" s="124">
        <f>I3+45</f>
        <v>42692</v>
      </c>
      <c r="K3" s="75">
        <f t="shared" si="2"/>
        <v>691.24</v>
      </c>
      <c r="L3" s="75">
        <f t="shared" si="3"/>
        <v>39055.060000000005</v>
      </c>
      <c r="M3" s="100">
        <v>39055</v>
      </c>
      <c r="N3" s="100" t="s">
        <v>735</v>
      </c>
      <c r="O3" s="10" t="s">
        <v>44</v>
      </c>
      <c r="P3" s="68" t="s">
        <v>122</v>
      </c>
    </row>
    <row r="4" spans="1:17" ht="12.75" x14ac:dyDescent="0.2">
      <c r="A4" s="100" t="s">
        <v>514</v>
      </c>
      <c r="B4" s="100"/>
      <c r="C4" s="100"/>
      <c r="D4" s="100" t="s">
        <v>469</v>
      </c>
      <c r="E4" s="100" t="s">
        <v>528</v>
      </c>
      <c r="F4" s="75">
        <f t="shared" si="0"/>
        <v>79068.25</v>
      </c>
      <c r="G4" s="67">
        <v>68755</v>
      </c>
      <c r="H4" s="75">
        <f t="shared" si="1"/>
        <v>10313.25</v>
      </c>
      <c r="I4" s="124">
        <v>42684</v>
      </c>
      <c r="J4" s="124">
        <f>I4+45</f>
        <v>42729</v>
      </c>
      <c r="K4" s="75">
        <f t="shared" si="2"/>
        <v>1375.1000000000001</v>
      </c>
      <c r="L4" s="75">
        <f t="shared" si="3"/>
        <v>77693.149999999994</v>
      </c>
      <c r="M4" s="100">
        <v>77693</v>
      </c>
      <c r="N4" s="100" t="s">
        <v>873</v>
      </c>
      <c r="O4" s="10" t="s">
        <v>44</v>
      </c>
      <c r="P4" s="68" t="s">
        <v>122</v>
      </c>
    </row>
    <row r="5" spans="1:17" ht="12.75" x14ac:dyDescent="0.2">
      <c r="A5" s="100" t="s">
        <v>628</v>
      </c>
      <c r="B5" s="100"/>
      <c r="C5" s="100" t="s">
        <v>632</v>
      </c>
      <c r="D5" s="100" t="s">
        <v>95</v>
      </c>
      <c r="E5" s="101" t="s">
        <v>631</v>
      </c>
      <c r="F5" s="75">
        <f t="shared" si="0"/>
        <v>24982.6</v>
      </c>
      <c r="G5" s="67">
        <v>21724</v>
      </c>
      <c r="H5" s="75">
        <f t="shared" si="1"/>
        <v>3258.6</v>
      </c>
      <c r="I5" s="124">
        <v>42737</v>
      </c>
      <c r="J5" s="124">
        <f>I5+45</f>
        <v>42782</v>
      </c>
      <c r="K5" s="75">
        <f t="shared" si="2"/>
        <v>434.48</v>
      </c>
      <c r="L5" s="75">
        <f t="shared" si="3"/>
        <v>24548.12</v>
      </c>
      <c r="M5" s="100">
        <v>24548</v>
      </c>
      <c r="N5" s="100" t="s">
        <v>876</v>
      </c>
      <c r="O5" s="10" t="s">
        <v>44</v>
      </c>
      <c r="P5" s="68" t="s">
        <v>122</v>
      </c>
    </row>
    <row r="6" spans="1:17" ht="12.75" x14ac:dyDescent="0.2">
      <c r="A6" s="100" t="s">
        <v>711</v>
      </c>
      <c r="B6" s="100"/>
      <c r="C6" s="100"/>
      <c r="D6" s="100" t="s">
        <v>84</v>
      </c>
      <c r="E6" s="101" t="s">
        <v>716</v>
      </c>
      <c r="F6" s="75">
        <f t="shared" si="0"/>
        <v>8625</v>
      </c>
      <c r="G6" s="67">
        <v>7500</v>
      </c>
      <c r="H6" s="75">
        <f t="shared" si="1"/>
        <v>1125</v>
      </c>
      <c r="I6" s="65"/>
      <c r="J6" s="66"/>
      <c r="K6" s="75">
        <f t="shared" si="2"/>
        <v>150</v>
      </c>
      <c r="L6" s="75">
        <f t="shared" si="3"/>
        <v>8475</v>
      </c>
      <c r="M6" s="100">
        <v>8475</v>
      </c>
      <c r="N6" s="100" t="s">
        <v>877</v>
      </c>
      <c r="O6" s="10" t="s">
        <v>44</v>
      </c>
      <c r="P6" s="68" t="s">
        <v>122</v>
      </c>
    </row>
    <row r="7" spans="1:17" ht="12.75" x14ac:dyDescent="0.2">
      <c r="A7" s="100" t="s">
        <v>711</v>
      </c>
      <c r="B7" s="100"/>
      <c r="C7" s="100" t="s">
        <v>718</v>
      </c>
      <c r="D7" s="100" t="s">
        <v>84</v>
      </c>
      <c r="E7" s="101" t="s">
        <v>717</v>
      </c>
      <c r="F7" s="75">
        <f t="shared" si="0"/>
        <v>7130</v>
      </c>
      <c r="G7" s="67">
        <v>6200</v>
      </c>
      <c r="H7" s="75">
        <f t="shared" si="1"/>
        <v>930</v>
      </c>
      <c r="I7" s="65"/>
      <c r="J7" s="66"/>
      <c r="K7" s="75">
        <f t="shared" si="2"/>
        <v>124</v>
      </c>
      <c r="L7" s="75">
        <f t="shared" si="3"/>
        <v>7006</v>
      </c>
      <c r="M7" s="100">
        <v>7006</v>
      </c>
      <c r="N7" s="100"/>
      <c r="O7" s="10" t="s">
        <v>44</v>
      </c>
      <c r="P7" s="68" t="s">
        <v>122</v>
      </c>
    </row>
    <row r="8" spans="1:17" ht="12.75" x14ac:dyDescent="0.2">
      <c r="A8" s="100" t="s">
        <v>711</v>
      </c>
      <c r="B8" s="100"/>
      <c r="C8" s="100" t="s">
        <v>718</v>
      </c>
      <c r="D8" s="100" t="s">
        <v>84</v>
      </c>
      <c r="E8" s="101" t="s">
        <v>719</v>
      </c>
      <c r="F8" s="75">
        <f t="shared" si="0"/>
        <v>13225</v>
      </c>
      <c r="G8" s="67">
        <v>11500</v>
      </c>
      <c r="H8" s="75">
        <f t="shared" si="1"/>
        <v>1725</v>
      </c>
      <c r="I8" s="65"/>
      <c r="J8" s="66"/>
      <c r="K8" s="75">
        <f t="shared" si="2"/>
        <v>230</v>
      </c>
      <c r="L8" s="75">
        <f t="shared" si="3"/>
        <v>12995</v>
      </c>
      <c r="M8" s="100">
        <v>12995</v>
      </c>
      <c r="N8" s="100"/>
      <c r="O8" s="10" t="s">
        <v>44</v>
      </c>
      <c r="P8" s="68" t="s">
        <v>122</v>
      </c>
    </row>
    <row r="9" spans="1:17" ht="12.75" x14ac:dyDescent="0.2">
      <c r="A9" s="45"/>
      <c r="B9" s="45"/>
      <c r="C9" s="45"/>
      <c r="D9" s="105"/>
      <c r="E9" s="97"/>
      <c r="F9" s="44">
        <f t="shared" si="0"/>
        <v>0</v>
      </c>
      <c r="G9" s="22"/>
      <c r="H9" s="44">
        <f t="shared" si="1"/>
        <v>0</v>
      </c>
      <c r="I9" s="20"/>
      <c r="J9" s="69"/>
      <c r="K9" s="44">
        <f t="shared" si="2"/>
        <v>0</v>
      </c>
      <c r="L9" s="44">
        <f t="shared" si="3"/>
        <v>0</v>
      </c>
      <c r="M9" s="45"/>
      <c r="N9" s="45"/>
      <c r="O9" s="45"/>
      <c r="P9" s="99"/>
      <c r="Q9" s="90" t="s">
        <v>310</v>
      </c>
    </row>
    <row r="10" spans="1:17" ht="12.75" x14ac:dyDescent="0.2">
      <c r="A10" s="45"/>
      <c r="B10" s="45"/>
      <c r="C10" s="45"/>
      <c r="D10" s="45"/>
      <c r="E10" s="97"/>
      <c r="F10" s="44">
        <f t="shared" si="0"/>
        <v>0</v>
      </c>
      <c r="G10" s="22"/>
      <c r="H10" s="44">
        <f t="shared" si="1"/>
        <v>0</v>
      </c>
      <c r="I10" s="20"/>
      <c r="J10" s="69"/>
      <c r="K10" s="44">
        <f t="shared" si="2"/>
        <v>0</v>
      </c>
      <c r="L10" s="44">
        <f t="shared" si="3"/>
        <v>0</v>
      </c>
      <c r="M10" s="45"/>
      <c r="N10" s="45"/>
      <c r="O10" s="45"/>
      <c r="P10" s="99"/>
    </row>
    <row r="11" spans="1:17" x14ac:dyDescent="0.2">
      <c r="A11" s="45"/>
      <c r="B11" s="45"/>
      <c r="C11" s="45"/>
      <c r="D11" s="45"/>
      <c r="E11" s="97"/>
      <c r="F11" s="98"/>
      <c r="G11" s="98"/>
      <c r="H11" s="98"/>
      <c r="I11" s="45"/>
      <c r="J11" s="97"/>
      <c r="K11" s="98"/>
      <c r="L11" s="98"/>
      <c r="M11" s="45"/>
      <c r="N11" s="45"/>
      <c r="O11" s="45"/>
      <c r="P11" s="99"/>
    </row>
    <row r="12" spans="1:17" x14ac:dyDescent="0.2">
      <c r="A12" s="45"/>
      <c r="B12" s="45"/>
      <c r="C12" s="45"/>
      <c r="D12" s="45"/>
      <c r="E12" s="97"/>
      <c r="F12" s="98"/>
      <c r="G12" s="98"/>
      <c r="H12" s="98"/>
      <c r="I12" s="45"/>
      <c r="J12" s="97"/>
      <c r="K12" s="98"/>
      <c r="L12" s="98"/>
      <c r="M12" s="45"/>
      <c r="N12" s="45"/>
      <c r="O12" s="45"/>
      <c r="P12" s="105"/>
    </row>
    <row r="14" spans="1:17" ht="18.75" x14ac:dyDescent="0.3">
      <c r="E14" s="131" t="s">
        <v>38</v>
      </c>
      <c r="F14" s="107">
        <f>SUM(F2:F12)</f>
        <v>182920.15</v>
      </c>
      <c r="G14" s="107">
        <f>SUM(G2:G12)</f>
        <v>159061</v>
      </c>
      <c r="H14" s="107">
        <f>SUM(H2:H12)</f>
        <v>23859.149999999998</v>
      </c>
      <c r="J14" s="90"/>
      <c r="K14" s="107">
        <f t="shared" ref="K14:M14" si="4">SUM(K2:K12)</f>
        <v>3181.2200000000003</v>
      </c>
      <c r="L14" s="107">
        <f t="shared" si="4"/>
        <v>179738.93</v>
      </c>
      <c r="M14" s="106">
        <f t="shared" si="4"/>
        <v>179739</v>
      </c>
      <c r="N14" s="132">
        <f>L14-M14</f>
        <v>-7.0000000006984919E-2</v>
      </c>
    </row>
    <row r="15" spans="1:17" ht="18.75" x14ac:dyDescent="0.3">
      <c r="E15" s="48" t="s">
        <v>39</v>
      </c>
    </row>
  </sheetData>
  <hyperlinks>
    <hyperlink ref="E14" location="HOME!A1" display="HOME" xr:uid="{00000000-0004-0000-1500-000000000000}"/>
    <hyperlink ref="E15" location="MONTHWISE!A1" display="Monthwise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14"/>
  <sheetViews>
    <sheetView workbookViewId="0">
      <selection activeCell="E13" sqref="E13"/>
    </sheetView>
  </sheetViews>
  <sheetFormatPr defaultRowHeight="15" x14ac:dyDescent="0.25"/>
  <cols>
    <col min="1" max="1" width="12.42578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0.425781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8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697</v>
      </c>
      <c r="B2" s="100"/>
      <c r="C2" s="100" t="s">
        <v>700</v>
      </c>
      <c r="D2" s="100" t="s">
        <v>61</v>
      </c>
      <c r="E2" s="181" t="s">
        <v>708</v>
      </c>
      <c r="F2" s="75">
        <f t="shared" ref="F2:F8" si="0">SUM(G2:H2)</f>
        <v>33097</v>
      </c>
      <c r="G2" s="75">
        <v>28780</v>
      </c>
      <c r="H2" s="75">
        <f t="shared" ref="H2:H8" si="1">G2*15%</f>
        <v>4317</v>
      </c>
      <c r="I2" s="76">
        <v>42758</v>
      </c>
      <c r="J2" s="76">
        <f>I2+30</f>
        <v>42788</v>
      </c>
      <c r="K2" s="75">
        <f t="shared" ref="K2:K8" si="2">G2*2%</f>
        <v>575.6</v>
      </c>
      <c r="L2" s="75">
        <f t="shared" ref="L2:L8" si="3">F2-K2</f>
        <v>32521.4</v>
      </c>
      <c r="M2" s="100">
        <v>32521</v>
      </c>
      <c r="N2" s="100" t="s">
        <v>721</v>
      </c>
      <c r="O2" s="10" t="s">
        <v>44</v>
      </c>
      <c r="P2" s="68" t="s">
        <v>122</v>
      </c>
    </row>
    <row r="3" spans="1:16" x14ac:dyDescent="0.25">
      <c r="A3" s="100" t="s">
        <v>767</v>
      </c>
      <c r="B3" s="100"/>
      <c r="C3" s="100"/>
      <c r="D3" s="100"/>
      <c r="E3" s="100" t="s">
        <v>766</v>
      </c>
      <c r="F3" s="75">
        <f t="shared" si="0"/>
        <v>9246</v>
      </c>
      <c r="G3" s="75">
        <v>8040</v>
      </c>
      <c r="H3" s="75">
        <f t="shared" si="1"/>
        <v>1206</v>
      </c>
      <c r="I3" s="76"/>
      <c r="J3" s="76">
        <f t="shared" ref="J3:J11" si="4">I3+45</f>
        <v>45</v>
      </c>
      <c r="K3" s="75">
        <f t="shared" si="2"/>
        <v>160.80000000000001</v>
      </c>
      <c r="L3" s="75">
        <f t="shared" si="3"/>
        <v>9085.2000000000007</v>
      </c>
      <c r="M3" s="100">
        <v>9085</v>
      </c>
      <c r="N3" s="100" t="s">
        <v>853</v>
      </c>
      <c r="O3" s="10" t="s">
        <v>44</v>
      </c>
      <c r="P3" s="68" t="s">
        <v>122</v>
      </c>
    </row>
    <row r="4" spans="1:16" x14ac:dyDescent="0.25">
      <c r="A4" s="45"/>
      <c r="B4" s="45"/>
      <c r="C4" s="45"/>
      <c r="D4" s="45"/>
      <c r="E4" s="97"/>
      <c r="F4" s="44">
        <f t="shared" si="0"/>
        <v>0</v>
      </c>
      <c r="G4" s="44"/>
      <c r="H4" s="44">
        <f t="shared" si="1"/>
        <v>0</v>
      </c>
      <c r="I4" s="78"/>
      <c r="J4" s="78">
        <f t="shared" si="4"/>
        <v>45</v>
      </c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44"/>
      <c r="H5" s="44">
        <f t="shared" si="1"/>
        <v>0</v>
      </c>
      <c r="I5" s="17"/>
      <c r="J5" s="78">
        <f t="shared" si="4"/>
        <v>45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44"/>
      <c r="H6" s="44">
        <f t="shared" si="1"/>
        <v>0</v>
      </c>
      <c r="I6" s="17"/>
      <c r="J6" s="78">
        <f t="shared" si="4"/>
        <v>45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105"/>
      <c r="E7" s="97"/>
      <c r="F7" s="44">
        <f t="shared" si="0"/>
        <v>0</v>
      </c>
      <c r="G7" s="44"/>
      <c r="H7" s="44">
        <f t="shared" si="1"/>
        <v>0</v>
      </c>
      <c r="I7" s="17"/>
      <c r="J7" s="78">
        <f t="shared" si="4"/>
        <v>45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44"/>
      <c r="H8" s="44">
        <f t="shared" si="1"/>
        <v>0</v>
      </c>
      <c r="I8" s="17"/>
      <c r="J8" s="78">
        <f t="shared" si="4"/>
        <v>45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45"/>
      <c r="E9" s="97"/>
      <c r="F9" s="44"/>
      <c r="G9" s="44"/>
      <c r="H9" s="44"/>
      <c r="I9" s="17"/>
      <c r="J9" s="78">
        <f t="shared" si="4"/>
        <v>45</v>
      </c>
      <c r="K9" s="44"/>
      <c r="L9" s="44"/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98"/>
      <c r="G10" s="98"/>
      <c r="H10" s="98"/>
      <c r="I10" s="45"/>
      <c r="J10" s="78">
        <f t="shared" si="4"/>
        <v>45</v>
      </c>
      <c r="K10" s="98"/>
      <c r="L10" s="98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78">
        <f t="shared" si="4"/>
        <v>45</v>
      </c>
      <c r="K11" s="98"/>
      <c r="L11" s="98"/>
      <c r="M11" s="45"/>
      <c r="N11" s="45"/>
      <c r="O11" s="45"/>
      <c r="P11" s="105"/>
    </row>
    <row r="12" spans="1:16" x14ac:dyDescent="0.25">
      <c r="A12" s="90"/>
      <c r="B12" s="90"/>
      <c r="C12" s="90"/>
      <c r="D12" s="90"/>
      <c r="E12" s="134"/>
      <c r="F12" s="108"/>
      <c r="G12" s="133"/>
      <c r="H12" s="108"/>
      <c r="I12" s="90"/>
      <c r="J12" s="134"/>
      <c r="K12" s="133"/>
      <c r="L12" s="108"/>
      <c r="M12" s="90"/>
      <c r="N12" s="90"/>
      <c r="O12" s="90"/>
      <c r="P12" s="90"/>
    </row>
    <row r="13" spans="1:16" ht="18.75" x14ac:dyDescent="0.3">
      <c r="A13" s="90"/>
      <c r="B13" s="90"/>
      <c r="C13" s="90"/>
      <c r="D13" s="90"/>
      <c r="E13" s="131" t="s">
        <v>38</v>
      </c>
      <c r="F13" s="107">
        <f>SUM(F2:F11)</f>
        <v>42343</v>
      </c>
      <c r="G13" s="107">
        <f>SUM(G2:G11)</f>
        <v>36820</v>
      </c>
      <c r="H13" s="107">
        <f>SUM(H2:H11)</f>
        <v>5523</v>
      </c>
      <c r="I13" s="90"/>
      <c r="J13" s="90"/>
      <c r="K13" s="107">
        <f t="shared" ref="K13:M13" si="5">SUM(K2:K11)</f>
        <v>736.40000000000009</v>
      </c>
      <c r="L13" s="107">
        <f t="shared" si="5"/>
        <v>41606.600000000006</v>
      </c>
      <c r="M13" s="106">
        <f t="shared" si="5"/>
        <v>41606</v>
      </c>
      <c r="N13" s="132"/>
      <c r="O13" s="90"/>
      <c r="P13" s="90"/>
    </row>
    <row r="14" spans="1:16" ht="18.75" x14ac:dyDescent="0.3">
      <c r="A14" s="90"/>
      <c r="B14" s="90"/>
      <c r="C14" s="90"/>
      <c r="D14" s="90"/>
      <c r="E14" s="48" t="s">
        <v>39</v>
      </c>
      <c r="F14" s="108"/>
      <c r="G14" s="133"/>
      <c r="H14" s="108"/>
      <c r="I14" s="90"/>
      <c r="J14" s="134"/>
      <c r="K14" s="133"/>
      <c r="L14" s="108"/>
      <c r="M14" s="90"/>
      <c r="N14" s="90"/>
      <c r="O14" s="90"/>
      <c r="P14" s="90"/>
    </row>
  </sheetData>
  <hyperlinks>
    <hyperlink ref="E13" location="HOME!A1" display="HOME" xr:uid="{00000000-0004-0000-1600-000000000000}"/>
    <hyperlink ref="E14" location="MONTHWISE!A1" display="Monthwise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15"/>
  <sheetViews>
    <sheetView workbookViewId="0">
      <selection activeCell="O3" sqref="O3:P3"/>
    </sheetView>
  </sheetViews>
  <sheetFormatPr defaultRowHeight="15" x14ac:dyDescent="0.25"/>
  <cols>
    <col min="1" max="1" width="11.42578125" bestFit="1" customWidth="1"/>
    <col min="2" max="2" width="5.5703125" bestFit="1" customWidth="1"/>
    <col min="3" max="3" width="8.7109375" bestFit="1" customWidth="1"/>
    <col min="4" max="4" width="8" bestFit="1" customWidth="1"/>
    <col min="5" max="5" width="23.710937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9.285156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7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669</v>
      </c>
      <c r="B2" s="100"/>
      <c r="C2" s="100" t="s">
        <v>672</v>
      </c>
      <c r="D2" s="100" t="s">
        <v>80</v>
      </c>
      <c r="E2" s="66" t="s">
        <v>673</v>
      </c>
      <c r="F2" s="75">
        <f t="shared" ref="F2:F9" si="0">SUM(G2:H2)</f>
        <v>13399.8</v>
      </c>
      <c r="G2" s="67">
        <v>11652</v>
      </c>
      <c r="H2" s="75">
        <f t="shared" ref="H2:H9" si="1">G2*15%</f>
        <v>1747.8</v>
      </c>
      <c r="I2" s="124">
        <v>42772</v>
      </c>
      <c r="J2" s="124" t="s">
        <v>153</v>
      </c>
      <c r="K2" s="75">
        <f t="shared" ref="K2:K9" si="2">G2*2%</f>
        <v>233.04</v>
      </c>
      <c r="L2" s="75">
        <f t="shared" ref="L2:L9" si="3">F2-K2</f>
        <v>13166.759999999998</v>
      </c>
      <c r="M2" s="100">
        <v>13167</v>
      </c>
      <c r="N2" s="100" t="s">
        <v>722</v>
      </c>
      <c r="O2" s="10" t="s">
        <v>44</v>
      </c>
      <c r="P2" s="68" t="s">
        <v>122</v>
      </c>
    </row>
    <row r="3" spans="1:16" x14ac:dyDescent="0.25">
      <c r="A3" s="100" t="s">
        <v>669</v>
      </c>
      <c r="B3" s="100"/>
      <c r="C3" s="100" t="s">
        <v>672</v>
      </c>
      <c r="D3" s="100" t="s">
        <v>80</v>
      </c>
      <c r="E3" s="101" t="s">
        <v>674</v>
      </c>
      <c r="F3" s="75">
        <f t="shared" si="0"/>
        <v>9845.15</v>
      </c>
      <c r="G3" s="67">
        <v>8561</v>
      </c>
      <c r="H3" s="75">
        <f t="shared" si="1"/>
        <v>1284.1499999999999</v>
      </c>
      <c r="I3" s="124">
        <v>42767</v>
      </c>
      <c r="J3" s="124">
        <f t="shared" ref="J3:J12" si="4">I3+30</f>
        <v>42797</v>
      </c>
      <c r="K3" s="75">
        <f t="shared" si="2"/>
        <v>171.22</v>
      </c>
      <c r="L3" s="75">
        <f t="shared" si="3"/>
        <v>9673.93</v>
      </c>
      <c r="M3" s="100">
        <v>9674</v>
      </c>
      <c r="N3" s="100" t="s">
        <v>781</v>
      </c>
      <c r="O3" s="10" t="s">
        <v>44</v>
      </c>
      <c r="P3" s="68" t="s">
        <v>122</v>
      </c>
    </row>
    <row r="4" spans="1:16" x14ac:dyDescent="0.25">
      <c r="A4" s="45"/>
      <c r="B4" s="45"/>
      <c r="C4" s="45"/>
      <c r="D4" s="45"/>
      <c r="E4" s="45"/>
      <c r="F4" s="44">
        <f t="shared" si="0"/>
        <v>0</v>
      </c>
      <c r="G4" s="22"/>
      <c r="H4" s="44">
        <f t="shared" si="1"/>
        <v>0</v>
      </c>
      <c r="I4" s="130"/>
      <c r="J4" s="130">
        <f t="shared" si="4"/>
        <v>30</v>
      </c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22"/>
      <c r="H5" s="44">
        <f t="shared" si="1"/>
        <v>0</v>
      </c>
      <c r="I5" s="130"/>
      <c r="J5" s="130">
        <f t="shared" si="4"/>
        <v>30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22"/>
      <c r="H6" s="44">
        <f t="shared" si="1"/>
        <v>0</v>
      </c>
      <c r="I6" s="20"/>
      <c r="J6" s="130">
        <f t="shared" si="4"/>
        <v>30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45"/>
      <c r="E7" s="97"/>
      <c r="F7" s="44">
        <f t="shared" si="0"/>
        <v>0</v>
      </c>
      <c r="G7" s="22"/>
      <c r="H7" s="44">
        <f t="shared" si="1"/>
        <v>0</v>
      </c>
      <c r="I7" s="20"/>
      <c r="J7" s="130">
        <f t="shared" si="4"/>
        <v>30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22"/>
      <c r="H8" s="44">
        <f t="shared" si="1"/>
        <v>0</v>
      </c>
      <c r="I8" s="20"/>
      <c r="J8" s="130">
        <f t="shared" si="4"/>
        <v>30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105"/>
      <c r="E9" s="97"/>
      <c r="F9" s="44">
        <f t="shared" si="0"/>
        <v>0</v>
      </c>
      <c r="G9" s="22"/>
      <c r="H9" s="44">
        <f t="shared" si="1"/>
        <v>0</v>
      </c>
      <c r="I9" s="20"/>
      <c r="J9" s="130">
        <f t="shared" si="4"/>
        <v>30</v>
      </c>
      <c r="K9" s="44">
        <f t="shared" si="2"/>
        <v>0</v>
      </c>
      <c r="L9" s="44">
        <f t="shared" si="3"/>
        <v>0</v>
      </c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44"/>
      <c r="G10" s="22"/>
      <c r="H10" s="44"/>
      <c r="I10" s="20"/>
      <c r="J10" s="130">
        <f t="shared" si="4"/>
        <v>30</v>
      </c>
      <c r="K10" s="44"/>
      <c r="L10" s="44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130">
        <f t="shared" si="4"/>
        <v>30</v>
      </c>
      <c r="K11" s="98"/>
      <c r="L11" s="98"/>
      <c r="M11" s="45"/>
      <c r="N11" s="45"/>
      <c r="O11" s="45"/>
      <c r="P11" s="99"/>
    </row>
    <row r="12" spans="1:16" x14ac:dyDescent="0.25">
      <c r="A12" s="45"/>
      <c r="B12" s="45"/>
      <c r="C12" s="45"/>
      <c r="D12" s="45"/>
      <c r="E12" s="97"/>
      <c r="F12" s="98"/>
      <c r="G12" s="98"/>
      <c r="H12" s="98"/>
      <c r="I12" s="45"/>
      <c r="J12" s="130">
        <f t="shared" si="4"/>
        <v>30</v>
      </c>
      <c r="K12" s="98"/>
      <c r="L12" s="98"/>
      <c r="M12" s="45"/>
      <c r="N12" s="45"/>
      <c r="O12" s="45"/>
      <c r="P12" s="105"/>
    </row>
    <row r="13" spans="1:16" x14ac:dyDescent="0.25">
      <c r="A13" s="90"/>
      <c r="B13" s="90"/>
      <c r="C13" s="90"/>
      <c r="D13" s="90"/>
      <c r="E13" s="134"/>
      <c r="F13" s="108"/>
      <c r="G13" s="133"/>
      <c r="H13" s="108"/>
      <c r="I13" s="90"/>
      <c r="J13" s="134"/>
      <c r="K13" s="133"/>
      <c r="L13" s="108"/>
      <c r="M13" s="90"/>
      <c r="N13" s="90"/>
      <c r="O13" s="90"/>
      <c r="P13" s="90"/>
    </row>
    <row r="14" spans="1:16" ht="18.75" x14ac:dyDescent="0.3">
      <c r="A14" s="90"/>
      <c r="B14" s="90"/>
      <c r="C14" s="90"/>
      <c r="D14" s="90"/>
      <c r="E14" s="131" t="s">
        <v>38</v>
      </c>
      <c r="F14" s="107">
        <f>SUM(F2:F12)</f>
        <v>23244.949999999997</v>
      </c>
      <c r="G14" s="107">
        <f>SUM(G2:G12)</f>
        <v>20213</v>
      </c>
      <c r="H14" s="107">
        <f>SUM(H2:H12)</f>
        <v>3031.95</v>
      </c>
      <c r="I14" s="90"/>
      <c r="J14" s="90"/>
      <c r="K14" s="107">
        <f t="shared" ref="K14:M14" si="5">SUM(K2:K12)</f>
        <v>404.26</v>
      </c>
      <c r="L14" s="107">
        <f t="shared" si="5"/>
        <v>22840.69</v>
      </c>
      <c r="M14" s="106">
        <f t="shared" si="5"/>
        <v>22841</v>
      </c>
      <c r="N14" s="132"/>
      <c r="O14" s="90"/>
      <c r="P14" s="90"/>
    </row>
    <row r="15" spans="1:16" ht="18.75" x14ac:dyDescent="0.3">
      <c r="A15" s="90"/>
      <c r="B15" s="90"/>
      <c r="C15" s="90"/>
      <c r="D15" s="90"/>
      <c r="E15" s="48" t="s">
        <v>39</v>
      </c>
      <c r="F15" s="108"/>
      <c r="G15" s="133"/>
      <c r="H15" s="108"/>
      <c r="I15" s="90"/>
      <c r="J15" s="134"/>
      <c r="K15" s="133"/>
      <c r="L15" s="108"/>
      <c r="M15" s="90"/>
      <c r="N15" s="90"/>
      <c r="O15" s="90"/>
      <c r="P15" s="90"/>
    </row>
  </sheetData>
  <hyperlinks>
    <hyperlink ref="E14" location="HOME!A1" display="HOME" xr:uid="{00000000-0004-0000-1700-000000000000}"/>
    <hyperlink ref="E15" location="MONTHWISE!A1" display="Monthwise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14"/>
  <sheetViews>
    <sheetView workbookViewId="0">
      <selection activeCell="O4" sqref="O4:P4"/>
    </sheetView>
  </sheetViews>
  <sheetFormatPr defaultRowHeight="15" x14ac:dyDescent="0.25"/>
  <cols>
    <col min="1" max="1" width="10.5703125" bestFit="1" customWidth="1"/>
    <col min="2" max="2" width="5.5703125" bestFit="1" customWidth="1"/>
    <col min="3" max="3" width="10.85546875" bestFit="1" customWidth="1"/>
    <col min="4" max="4" width="5.5703125" bestFit="1" customWidth="1"/>
    <col min="5" max="5" width="23.710937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9.285156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8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669</v>
      </c>
      <c r="B2" s="100"/>
      <c r="C2" s="100" t="s">
        <v>691</v>
      </c>
      <c r="D2" s="100" t="s">
        <v>95</v>
      </c>
      <c r="E2" s="181" t="s">
        <v>690</v>
      </c>
      <c r="F2" s="75">
        <f t="shared" ref="F2:F8" si="0">SUM(G2:H2)</f>
        <v>46381.8</v>
      </c>
      <c r="G2" s="75">
        <v>40332</v>
      </c>
      <c r="H2" s="75">
        <f t="shared" ref="H2:H8" si="1">G2*15%</f>
        <v>6049.8</v>
      </c>
      <c r="I2" s="76">
        <v>42772</v>
      </c>
      <c r="J2" s="76">
        <f>I2+45</f>
        <v>42817</v>
      </c>
      <c r="K2" s="75">
        <f t="shared" ref="K2:K8" si="2">G2*2%</f>
        <v>806.64</v>
      </c>
      <c r="L2" s="75">
        <f t="shared" ref="L2:L8" si="3">F2-K2</f>
        <v>45575.16</v>
      </c>
      <c r="M2" s="100">
        <v>45575</v>
      </c>
      <c r="N2" s="100" t="s">
        <v>849</v>
      </c>
      <c r="O2" s="10" t="s">
        <v>44</v>
      </c>
      <c r="P2" s="68" t="s">
        <v>122</v>
      </c>
    </row>
    <row r="3" spans="1:16" x14ac:dyDescent="0.25">
      <c r="A3" s="100" t="s">
        <v>769</v>
      </c>
      <c r="B3" s="100"/>
      <c r="C3" s="100"/>
      <c r="D3" s="100" t="s">
        <v>84</v>
      </c>
      <c r="E3" s="100" t="s">
        <v>770</v>
      </c>
      <c r="F3" s="75">
        <f t="shared" si="0"/>
        <v>2863.5</v>
      </c>
      <c r="G3" s="75">
        <v>2490</v>
      </c>
      <c r="H3" s="75">
        <f t="shared" si="1"/>
        <v>373.5</v>
      </c>
      <c r="I3" s="76"/>
      <c r="J3" s="76">
        <f t="shared" ref="J3:J11" si="4">I3+45</f>
        <v>45</v>
      </c>
      <c r="K3" s="75">
        <f t="shared" si="2"/>
        <v>49.800000000000004</v>
      </c>
      <c r="L3" s="75">
        <f t="shared" si="3"/>
        <v>2813.7</v>
      </c>
      <c r="M3" s="100">
        <v>2814</v>
      </c>
      <c r="N3" s="100" t="s">
        <v>849</v>
      </c>
      <c r="O3" s="10" t="s">
        <v>44</v>
      </c>
      <c r="P3" s="68" t="s">
        <v>122</v>
      </c>
    </row>
    <row r="4" spans="1:16" x14ac:dyDescent="0.25">
      <c r="A4" s="100" t="s">
        <v>769</v>
      </c>
      <c r="B4" s="100"/>
      <c r="C4" s="100"/>
      <c r="D4" s="100" t="s">
        <v>84</v>
      </c>
      <c r="E4" s="101" t="s">
        <v>771</v>
      </c>
      <c r="F4" s="75">
        <f t="shared" si="0"/>
        <v>1196</v>
      </c>
      <c r="G4" s="75">
        <v>1040</v>
      </c>
      <c r="H4" s="75">
        <f t="shared" si="1"/>
        <v>156</v>
      </c>
      <c r="I4" s="76"/>
      <c r="J4" s="76">
        <f t="shared" si="4"/>
        <v>45</v>
      </c>
      <c r="K4" s="75">
        <f t="shared" si="2"/>
        <v>20.8</v>
      </c>
      <c r="L4" s="75">
        <f t="shared" si="3"/>
        <v>1175.2</v>
      </c>
      <c r="M4" s="100">
        <v>1175</v>
      </c>
      <c r="N4" s="100" t="s">
        <v>851</v>
      </c>
      <c r="O4" s="10" t="s">
        <v>44</v>
      </c>
      <c r="P4" s="68" t="s">
        <v>122</v>
      </c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44"/>
      <c r="H5" s="44">
        <f t="shared" si="1"/>
        <v>0</v>
      </c>
      <c r="I5" s="17"/>
      <c r="J5" s="78">
        <f t="shared" si="4"/>
        <v>45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44"/>
      <c r="H6" s="44">
        <f t="shared" si="1"/>
        <v>0</v>
      </c>
      <c r="I6" s="17"/>
      <c r="J6" s="78">
        <f t="shared" si="4"/>
        <v>45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105"/>
      <c r="E7" s="97"/>
      <c r="F7" s="44">
        <f t="shared" si="0"/>
        <v>0</v>
      </c>
      <c r="G7" s="44"/>
      <c r="H7" s="44">
        <f t="shared" si="1"/>
        <v>0</v>
      </c>
      <c r="I7" s="17"/>
      <c r="J7" s="78">
        <f t="shared" si="4"/>
        <v>45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44"/>
      <c r="H8" s="44">
        <f t="shared" si="1"/>
        <v>0</v>
      </c>
      <c r="I8" s="17"/>
      <c r="J8" s="78">
        <f t="shared" si="4"/>
        <v>45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45"/>
      <c r="E9" s="97"/>
      <c r="F9" s="44"/>
      <c r="G9" s="44"/>
      <c r="H9" s="44"/>
      <c r="I9" s="17"/>
      <c r="J9" s="78">
        <f t="shared" si="4"/>
        <v>45</v>
      </c>
      <c r="K9" s="44"/>
      <c r="L9" s="44"/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98"/>
      <c r="G10" s="98"/>
      <c r="H10" s="98"/>
      <c r="I10" s="45"/>
      <c r="J10" s="78">
        <f t="shared" si="4"/>
        <v>45</v>
      </c>
      <c r="K10" s="98"/>
      <c r="L10" s="98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78">
        <f t="shared" si="4"/>
        <v>45</v>
      </c>
      <c r="K11" s="98"/>
      <c r="L11" s="98"/>
      <c r="M11" s="45"/>
      <c r="N11" s="45"/>
      <c r="O11" s="45"/>
      <c r="P11" s="105"/>
    </row>
    <row r="12" spans="1:16" x14ac:dyDescent="0.25">
      <c r="A12" s="90"/>
      <c r="B12" s="90"/>
      <c r="C12" s="90"/>
      <c r="D12" s="90"/>
      <c r="E12" s="134"/>
      <c r="F12" s="108"/>
      <c r="G12" s="133"/>
      <c r="H12" s="108"/>
      <c r="I12" s="90"/>
      <c r="J12" s="134"/>
      <c r="K12" s="133"/>
      <c r="L12" s="108"/>
      <c r="M12" s="90"/>
      <c r="N12" s="90"/>
      <c r="O12" s="90"/>
      <c r="P12" s="90"/>
    </row>
    <row r="13" spans="1:16" ht="18.75" x14ac:dyDescent="0.3">
      <c r="A13" s="90"/>
      <c r="B13" s="90"/>
      <c r="C13" s="90"/>
      <c r="D13" s="90"/>
      <c r="E13" s="131" t="s">
        <v>38</v>
      </c>
      <c r="F13" s="107">
        <f>SUM(F2:F11)</f>
        <v>50441.3</v>
      </c>
      <c r="G13" s="107">
        <f>SUM(G2:G11)</f>
        <v>43862</v>
      </c>
      <c r="H13" s="107">
        <f>SUM(H2:H11)</f>
        <v>6579.3</v>
      </c>
      <c r="I13" s="90"/>
      <c r="J13" s="90"/>
      <c r="K13" s="107">
        <f t="shared" ref="K13:M13" si="5">SUM(K2:K11)</f>
        <v>877.2399999999999</v>
      </c>
      <c r="L13" s="107">
        <f t="shared" si="5"/>
        <v>49564.06</v>
      </c>
      <c r="M13" s="106">
        <f t="shared" si="5"/>
        <v>49564</v>
      </c>
      <c r="N13" s="132"/>
      <c r="O13" s="90"/>
      <c r="P13" s="90"/>
    </row>
    <row r="14" spans="1:16" ht="18.75" x14ac:dyDescent="0.3">
      <c r="A14" s="90"/>
      <c r="B14" s="90"/>
      <c r="C14" s="90"/>
      <c r="D14" s="90"/>
      <c r="E14" s="48" t="s">
        <v>39</v>
      </c>
      <c r="F14" s="108"/>
      <c r="G14" s="133"/>
      <c r="H14" s="108"/>
      <c r="I14" s="90"/>
      <c r="J14" s="134"/>
      <c r="K14" s="133"/>
      <c r="L14" s="108"/>
      <c r="M14" s="90"/>
      <c r="N14" s="90"/>
      <c r="O14" s="90"/>
      <c r="P14" s="90"/>
    </row>
  </sheetData>
  <hyperlinks>
    <hyperlink ref="E13" location="HOME!A1" display="HOME" xr:uid="{00000000-0004-0000-1800-000000000000}"/>
    <hyperlink ref="E14" location="MONTHWISE!A1" display="Monthwise" xr:uid="{00000000-0004-0000-1800-000001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14"/>
  <sheetViews>
    <sheetView workbookViewId="0">
      <selection activeCell="E13" sqref="E13"/>
    </sheetView>
  </sheetViews>
  <sheetFormatPr defaultRowHeight="15" x14ac:dyDescent="0.25"/>
  <cols>
    <col min="1" max="1" width="11.140625" bestFit="1" customWidth="1"/>
    <col min="2" max="2" width="5.5703125" bestFit="1" customWidth="1"/>
    <col min="3" max="3" width="10.85546875" bestFit="1" customWidth="1"/>
    <col min="4" max="4" width="5.5703125" bestFit="1" customWidth="1"/>
    <col min="5" max="5" width="22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9.285156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8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45" t="s">
        <v>697</v>
      </c>
      <c r="B2" s="45"/>
      <c r="C2" s="45"/>
      <c r="D2" s="45"/>
      <c r="E2" s="86" t="s">
        <v>696</v>
      </c>
      <c r="F2" s="44">
        <f t="shared" ref="F2:F8" si="0">SUM(G2:H2)</f>
        <v>10827.25</v>
      </c>
      <c r="G2" s="44">
        <v>9415</v>
      </c>
      <c r="H2" s="44">
        <f t="shared" ref="H2:H8" si="1">G2*15%</f>
        <v>1412.25</v>
      </c>
      <c r="I2" s="78">
        <v>42758</v>
      </c>
      <c r="J2" s="78" t="s">
        <v>153</v>
      </c>
      <c r="K2" s="44">
        <f t="shared" ref="K2:K8" si="2">G2*2%</f>
        <v>188.3</v>
      </c>
      <c r="L2" s="44">
        <f t="shared" ref="L2:L8" si="3">F2-K2</f>
        <v>10638.95</v>
      </c>
      <c r="M2" s="45"/>
      <c r="N2" s="45"/>
      <c r="O2" s="15"/>
      <c r="P2" s="19"/>
    </row>
    <row r="3" spans="1:16" x14ac:dyDescent="0.25">
      <c r="A3" s="45" t="s">
        <v>735</v>
      </c>
      <c r="B3" s="45"/>
      <c r="C3" s="45"/>
      <c r="D3" s="45"/>
      <c r="E3" s="45" t="s">
        <v>738</v>
      </c>
      <c r="F3" s="44">
        <f t="shared" si="0"/>
        <v>9752</v>
      </c>
      <c r="G3" s="44">
        <v>8480</v>
      </c>
      <c r="H3" s="44">
        <f t="shared" si="1"/>
        <v>1272</v>
      </c>
      <c r="I3" s="78">
        <v>42736</v>
      </c>
      <c r="J3" s="78">
        <f t="shared" ref="J3:J11" si="4">I3+45</f>
        <v>42781</v>
      </c>
      <c r="K3" s="44">
        <f t="shared" si="2"/>
        <v>169.6</v>
      </c>
      <c r="L3" s="44">
        <f t="shared" si="3"/>
        <v>9582.4</v>
      </c>
      <c r="M3" s="45"/>
      <c r="N3" s="45"/>
      <c r="O3" s="45"/>
      <c r="P3" s="99"/>
    </row>
    <row r="4" spans="1:16" x14ac:dyDescent="0.25">
      <c r="A4" s="45"/>
      <c r="B4" s="45"/>
      <c r="C4" s="45"/>
      <c r="D4" s="45"/>
      <c r="E4" s="97"/>
      <c r="F4" s="44">
        <f t="shared" si="0"/>
        <v>0</v>
      </c>
      <c r="G4" s="44"/>
      <c r="H4" s="44">
        <f t="shared" si="1"/>
        <v>0</v>
      </c>
      <c r="I4" s="78"/>
      <c r="J4" s="78">
        <f t="shared" si="4"/>
        <v>45</v>
      </c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44"/>
      <c r="H5" s="44">
        <f t="shared" si="1"/>
        <v>0</v>
      </c>
      <c r="I5" s="17"/>
      <c r="J5" s="78">
        <f t="shared" si="4"/>
        <v>45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44"/>
      <c r="H6" s="44">
        <f t="shared" si="1"/>
        <v>0</v>
      </c>
      <c r="I6" s="17"/>
      <c r="J6" s="78">
        <f t="shared" si="4"/>
        <v>45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105"/>
      <c r="E7" s="97"/>
      <c r="F7" s="44">
        <f t="shared" si="0"/>
        <v>0</v>
      </c>
      <c r="G7" s="44"/>
      <c r="H7" s="44">
        <f t="shared" si="1"/>
        <v>0</v>
      </c>
      <c r="I7" s="17"/>
      <c r="J7" s="78">
        <f t="shared" si="4"/>
        <v>45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44"/>
      <c r="H8" s="44">
        <f t="shared" si="1"/>
        <v>0</v>
      </c>
      <c r="I8" s="17"/>
      <c r="J8" s="78">
        <f t="shared" si="4"/>
        <v>45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45"/>
      <c r="E9" s="97"/>
      <c r="F9" s="44"/>
      <c r="G9" s="44"/>
      <c r="H9" s="44"/>
      <c r="I9" s="17"/>
      <c r="J9" s="78">
        <f t="shared" si="4"/>
        <v>45</v>
      </c>
      <c r="K9" s="44"/>
      <c r="L9" s="44"/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98"/>
      <c r="G10" s="98"/>
      <c r="H10" s="98"/>
      <c r="I10" s="45"/>
      <c r="J10" s="78">
        <f t="shared" si="4"/>
        <v>45</v>
      </c>
      <c r="K10" s="98"/>
      <c r="L10" s="98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78">
        <f t="shared" si="4"/>
        <v>45</v>
      </c>
      <c r="K11" s="98"/>
      <c r="L11" s="98"/>
      <c r="M11" s="45"/>
      <c r="N11" s="45"/>
      <c r="O11" s="45"/>
      <c r="P11" s="105"/>
    </row>
    <row r="12" spans="1:16" x14ac:dyDescent="0.25">
      <c r="A12" s="90"/>
      <c r="B12" s="90"/>
      <c r="C12" s="90"/>
      <c r="D12" s="90"/>
      <c r="E12" s="134"/>
      <c r="F12" s="108"/>
      <c r="G12" s="133"/>
      <c r="H12" s="108"/>
      <c r="I12" s="90"/>
      <c r="J12" s="134"/>
      <c r="K12" s="133"/>
      <c r="L12" s="108"/>
      <c r="M12" s="90"/>
      <c r="N12" s="90"/>
      <c r="O12" s="90"/>
      <c r="P12" s="90"/>
    </row>
    <row r="13" spans="1:16" ht="18.75" x14ac:dyDescent="0.3">
      <c r="A13" s="90"/>
      <c r="B13" s="90"/>
      <c r="C13" s="90"/>
      <c r="D13" s="90"/>
      <c r="E13" s="131" t="s">
        <v>38</v>
      </c>
      <c r="F13" s="107">
        <f>SUM(F2:F11)</f>
        <v>20579.25</v>
      </c>
      <c r="G13" s="107">
        <f>SUM(G2:G11)</f>
        <v>17895</v>
      </c>
      <c r="H13" s="107">
        <f>SUM(H2:H11)</f>
        <v>2684.25</v>
      </c>
      <c r="I13" s="90"/>
      <c r="J13" s="90"/>
      <c r="K13" s="107">
        <f t="shared" ref="K13:M13" si="5">SUM(K2:K11)</f>
        <v>357.9</v>
      </c>
      <c r="L13" s="107">
        <f t="shared" si="5"/>
        <v>20221.349999999999</v>
      </c>
      <c r="M13" s="106">
        <f t="shared" si="5"/>
        <v>0</v>
      </c>
      <c r="N13" s="132"/>
      <c r="O13" s="90"/>
      <c r="P13" s="90"/>
    </row>
    <row r="14" spans="1:16" ht="18.75" x14ac:dyDescent="0.3">
      <c r="A14" s="90"/>
      <c r="B14" s="90"/>
      <c r="C14" s="90"/>
      <c r="D14" s="90"/>
      <c r="E14" s="48" t="s">
        <v>39</v>
      </c>
      <c r="F14" s="108"/>
      <c r="G14" s="133"/>
      <c r="H14" s="108"/>
      <c r="I14" s="90"/>
      <c r="J14" s="134"/>
      <c r="K14" s="133"/>
      <c r="L14" s="108"/>
      <c r="M14" s="90"/>
      <c r="N14" s="90"/>
      <c r="O14" s="90"/>
      <c r="P14" s="90"/>
    </row>
  </sheetData>
  <hyperlinks>
    <hyperlink ref="E13" location="HOME!A1" display="HOME" xr:uid="{00000000-0004-0000-1900-000000000000}"/>
    <hyperlink ref="E14" location="MONTHWISE!A1" display="Monthwise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14"/>
  <sheetViews>
    <sheetView workbookViewId="0">
      <selection activeCell="E13" sqref="E13"/>
    </sheetView>
  </sheetViews>
  <sheetFormatPr defaultRowHeight="15" x14ac:dyDescent="0.25"/>
  <cols>
    <col min="1" max="1" width="10.5703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0.425781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8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778</v>
      </c>
      <c r="B2" s="100"/>
      <c r="C2" s="100"/>
      <c r="D2" s="100"/>
      <c r="E2" s="181" t="s">
        <v>779</v>
      </c>
      <c r="F2" s="75">
        <f t="shared" ref="F2:F8" si="0">SUM(G2:H2)</f>
        <v>30834.95</v>
      </c>
      <c r="G2" s="75">
        <v>26813</v>
      </c>
      <c r="H2" s="75">
        <f t="shared" ref="H2:H8" si="1">G2*15%</f>
        <v>4021.95</v>
      </c>
      <c r="I2" s="76">
        <v>42741</v>
      </c>
      <c r="J2" s="76">
        <f>I2+30</f>
        <v>42771</v>
      </c>
      <c r="K2" s="75">
        <f t="shared" ref="K2:K8" si="2">G2*2%</f>
        <v>536.26</v>
      </c>
      <c r="L2" s="75">
        <f t="shared" ref="L2:L8" si="3">F2-K2</f>
        <v>30298.690000000002</v>
      </c>
      <c r="M2" s="100">
        <v>12868</v>
      </c>
      <c r="N2" s="100" t="s">
        <v>863</v>
      </c>
      <c r="O2" s="10" t="s">
        <v>44</v>
      </c>
      <c r="P2" s="68" t="s">
        <v>122</v>
      </c>
    </row>
    <row r="3" spans="1:16" x14ac:dyDescent="0.25">
      <c r="A3" s="100"/>
      <c r="B3" s="100"/>
      <c r="C3" s="100"/>
      <c r="D3" s="100"/>
      <c r="E3" s="100"/>
      <c r="F3" s="75">
        <f t="shared" si="0"/>
        <v>0</v>
      </c>
      <c r="G3" s="75"/>
      <c r="H3" s="75">
        <f t="shared" si="1"/>
        <v>0</v>
      </c>
      <c r="I3" s="76"/>
      <c r="J3" s="76">
        <f t="shared" ref="J3:J11" si="4">I3+45</f>
        <v>45</v>
      </c>
      <c r="K3" s="75">
        <f t="shared" si="2"/>
        <v>0</v>
      </c>
      <c r="L3" s="75">
        <f t="shared" si="3"/>
        <v>0</v>
      </c>
      <c r="M3" s="100">
        <v>17349</v>
      </c>
      <c r="N3" s="100" t="s">
        <v>875</v>
      </c>
      <c r="O3" s="10" t="s">
        <v>44</v>
      </c>
      <c r="P3" s="68" t="s">
        <v>122</v>
      </c>
    </row>
    <row r="4" spans="1:16" x14ac:dyDescent="0.25">
      <c r="A4" s="45"/>
      <c r="B4" s="45"/>
      <c r="C4" s="45"/>
      <c r="D4" s="45"/>
      <c r="E4" s="97"/>
      <c r="F4" s="44">
        <f t="shared" si="0"/>
        <v>0</v>
      </c>
      <c r="G4" s="44"/>
      <c r="H4" s="44">
        <f t="shared" si="1"/>
        <v>0</v>
      </c>
      <c r="I4" s="78"/>
      <c r="J4" s="78">
        <f t="shared" si="4"/>
        <v>45</v>
      </c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44"/>
      <c r="H5" s="44">
        <f t="shared" si="1"/>
        <v>0</v>
      </c>
      <c r="I5" s="17"/>
      <c r="J5" s="78">
        <f t="shared" si="4"/>
        <v>45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44"/>
      <c r="H6" s="44">
        <f t="shared" si="1"/>
        <v>0</v>
      </c>
      <c r="I6" s="17"/>
      <c r="J6" s="78">
        <f t="shared" si="4"/>
        <v>45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105"/>
      <c r="E7" s="97"/>
      <c r="F7" s="44">
        <f t="shared" si="0"/>
        <v>0</v>
      </c>
      <c r="G7" s="44"/>
      <c r="H7" s="44">
        <f t="shared" si="1"/>
        <v>0</v>
      </c>
      <c r="I7" s="17"/>
      <c r="J7" s="78">
        <f t="shared" si="4"/>
        <v>45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44"/>
      <c r="H8" s="44">
        <f t="shared" si="1"/>
        <v>0</v>
      </c>
      <c r="I8" s="17"/>
      <c r="J8" s="78">
        <f t="shared" si="4"/>
        <v>45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45"/>
      <c r="E9" s="97"/>
      <c r="F9" s="44"/>
      <c r="G9" s="44"/>
      <c r="H9" s="44"/>
      <c r="I9" s="17"/>
      <c r="J9" s="78">
        <f t="shared" si="4"/>
        <v>45</v>
      </c>
      <c r="K9" s="44"/>
      <c r="L9" s="44"/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98"/>
      <c r="G10" s="98"/>
      <c r="H10" s="98"/>
      <c r="I10" s="45"/>
      <c r="J10" s="78">
        <f t="shared" si="4"/>
        <v>45</v>
      </c>
      <c r="K10" s="98"/>
      <c r="L10" s="98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78">
        <f t="shared" si="4"/>
        <v>45</v>
      </c>
      <c r="K11" s="98"/>
      <c r="L11" s="98"/>
      <c r="M11" s="45"/>
      <c r="N11" s="45"/>
      <c r="O11" s="45"/>
      <c r="P11" s="105"/>
    </row>
    <row r="12" spans="1:16" x14ac:dyDescent="0.25">
      <c r="A12" s="90"/>
      <c r="B12" s="90"/>
      <c r="C12" s="90"/>
      <c r="D12" s="90"/>
      <c r="E12" s="134"/>
      <c r="F12" s="108"/>
      <c r="G12" s="133"/>
      <c r="H12" s="108"/>
      <c r="I12" s="90"/>
      <c r="J12" s="134"/>
      <c r="K12" s="133"/>
      <c r="L12" s="108"/>
      <c r="M12" s="90"/>
      <c r="N12" s="90"/>
      <c r="O12" s="90"/>
      <c r="P12" s="90"/>
    </row>
    <row r="13" spans="1:16" ht="18.75" x14ac:dyDescent="0.3">
      <c r="A13" s="90"/>
      <c r="B13" s="90"/>
      <c r="C13" s="90"/>
      <c r="D13" s="90"/>
      <c r="E13" s="131" t="s">
        <v>38</v>
      </c>
      <c r="F13" s="107">
        <f>SUM(F2:F11)</f>
        <v>30834.95</v>
      </c>
      <c r="G13" s="107">
        <f>SUM(G2:G11)</f>
        <v>26813</v>
      </c>
      <c r="H13" s="107">
        <f>SUM(H2:H11)</f>
        <v>4021.95</v>
      </c>
      <c r="I13" s="90"/>
      <c r="J13" s="90"/>
      <c r="K13" s="107">
        <f t="shared" ref="K13:M13" si="5">SUM(K2:K11)</f>
        <v>536.26</v>
      </c>
      <c r="L13" s="107">
        <f t="shared" si="5"/>
        <v>30298.690000000002</v>
      </c>
      <c r="M13" s="106">
        <f t="shared" si="5"/>
        <v>30217</v>
      </c>
      <c r="N13" s="132"/>
      <c r="O13" s="90"/>
      <c r="P13" s="90"/>
    </row>
    <row r="14" spans="1:16" ht="18.75" x14ac:dyDescent="0.3">
      <c r="A14" s="90"/>
      <c r="B14" s="90"/>
      <c r="C14" s="90"/>
      <c r="D14" s="90"/>
      <c r="E14" s="48" t="s">
        <v>39</v>
      </c>
      <c r="F14" s="108"/>
      <c r="G14" s="133"/>
      <c r="H14" s="108"/>
      <c r="I14" s="90"/>
      <c r="J14" s="134"/>
      <c r="K14" s="133"/>
      <c r="L14" s="108"/>
      <c r="M14" s="90"/>
      <c r="N14" s="90"/>
      <c r="O14" s="90"/>
      <c r="P14" s="90"/>
    </row>
  </sheetData>
  <hyperlinks>
    <hyperlink ref="E13" location="HOME!A1" display="HOME" xr:uid="{00000000-0004-0000-1A00-000000000000}"/>
    <hyperlink ref="E14" location="MONTHWISE!A1" display="Monthwise" xr:uid="{00000000-0004-0000-1A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14"/>
  <sheetViews>
    <sheetView workbookViewId="0">
      <selection activeCell="E13" sqref="E13"/>
    </sheetView>
  </sheetViews>
  <sheetFormatPr defaultRowHeight="15" x14ac:dyDescent="0.25"/>
  <cols>
    <col min="1" max="1" width="10.5703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0.425781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8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701</v>
      </c>
      <c r="B2" s="100"/>
      <c r="C2" s="100" t="s">
        <v>700</v>
      </c>
      <c r="D2" s="100" t="s">
        <v>61</v>
      </c>
      <c r="E2" s="181" t="s">
        <v>699</v>
      </c>
      <c r="F2" s="75">
        <f t="shared" ref="F2:F8" si="0">SUM(G2:H2)</f>
        <v>5150.8500000000004</v>
      </c>
      <c r="G2" s="75">
        <v>4479</v>
      </c>
      <c r="H2" s="75">
        <f t="shared" ref="H2:H8" si="1">G2*15%</f>
        <v>671.85</v>
      </c>
      <c r="I2" s="76">
        <v>42741</v>
      </c>
      <c r="J2" s="76">
        <f>I2+30</f>
        <v>42771</v>
      </c>
      <c r="K2" s="75">
        <f t="shared" ref="K2:K8" si="2">G2*2%</f>
        <v>89.58</v>
      </c>
      <c r="L2" s="75">
        <f t="shared" ref="L2:L8" si="3">F2-K2</f>
        <v>5061.2700000000004</v>
      </c>
      <c r="M2" s="100">
        <v>5061</v>
      </c>
      <c r="N2" s="100" t="s">
        <v>864</v>
      </c>
      <c r="O2" s="10" t="s">
        <v>44</v>
      </c>
      <c r="P2" s="68" t="s">
        <v>122</v>
      </c>
    </row>
    <row r="3" spans="1:16" x14ac:dyDescent="0.25">
      <c r="A3" s="45"/>
      <c r="B3" s="45"/>
      <c r="C3" s="45"/>
      <c r="D3" s="45"/>
      <c r="E3" s="45"/>
      <c r="F3" s="44">
        <f t="shared" si="0"/>
        <v>0</v>
      </c>
      <c r="G3" s="44"/>
      <c r="H3" s="44">
        <f t="shared" si="1"/>
        <v>0</v>
      </c>
      <c r="I3" s="78"/>
      <c r="J3" s="78">
        <f t="shared" ref="J3:J11" si="4">I3+45</f>
        <v>45</v>
      </c>
      <c r="K3" s="44">
        <f t="shared" si="2"/>
        <v>0</v>
      </c>
      <c r="L3" s="44">
        <f t="shared" si="3"/>
        <v>0</v>
      </c>
      <c r="M3" s="45"/>
      <c r="N3" s="45"/>
      <c r="O3" s="45"/>
      <c r="P3" s="99"/>
    </row>
    <row r="4" spans="1:16" x14ac:dyDescent="0.25">
      <c r="A4" s="45"/>
      <c r="B4" s="45"/>
      <c r="C4" s="45"/>
      <c r="D4" s="45"/>
      <c r="E4" s="97"/>
      <c r="F4" s="44">
        <f t="shared" si="0"/>
        <v>0</v>
      </c>
      <c r="G4" s="44"/>
      <c r="H4" s="44">
        <f t="shared" si="1"/>
        <v>0</v>
      </c>
      <c r="I4" s="78"/>
      <c r="J4" s="78">
        <f t="shared" si="4"/>
        <v>45</v>
      </c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44"/>
      <c r="H5" s="44">
        <f t="shared" si="1"/>
        <v>0</v>
      </c>
      <c r="I5" s="17"/>
      <c r="J5" s="78">
        <f t="shared" si="4"/>
        <v>45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44"/>
      <c r="H6" s="44">
        <f t="shared" si="1"/>
        <v>0</v>
      </c>
      <c r="I6" s="17"/>
      <c r="J6" s="78">
        <f t="shared" si="4"/>
        <v>45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105"/>
      <c r="E7" s="97"/>
      <c r="F7" s="44">
        <f t="shared" si="0"/>
        <v>0</v>
      </c>
      <c r="G7" s="44"/>
      <c r="H7" s="44">
        <f t="shared" si="1"/>
        <v>0</v>
      </c>
      <c r="I7" s="17"/>
      <c r="J7" s="78">
        <f t="shared" si="4"/>
        <v>45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44"/>
      <c r="H8" s="44">
        <f t="shared" si="1"/>
        <v>0</v>
      </c>
      <c r="I8" s="17"/>
      <c r="J8" s="78">
        <f t="shared" si="4"/>
        <v>45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45"/>
      <c r="E9" s="97"/>
      <c r="F9" s="44"/>
      <c r="G9" s="44"/>
      <c r="H9" s="44"/>
      <c r="I9" s="17"/>
      <c r="J9" s="78">
        <f t="shared" si="4"/>
        <v>45</v>
      </c>
      <c r="K9" s="44"/>
      <c r="L9" s="44"/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98"/>
      <c r="G10" s="98"/>
      <c r="H10" s="98"/>
      <c r="I10" s="45"/>
      <c r="J10" s="78">
        <f t="shared" si="4"/>
        <v>45</v>
      </c>
      <c r="K10" s="98"/>
      <c r="L10" s="98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78">
        <f t="shared" si="4"/>
        <v>45</v>
      </c>
      <c r="K11" s="98"/>
      <c r="L11" s="98"/>
      <c r="M11" s="45"/>
      <c r="N11" s="45"/>
      <c r="O11" s="45"/>
      <c r="P11" s="105"/>
    </row>
    <row r="12" spans="1:16" x14ac:dyDescent="0.25">
      <c r="A12" s="90"/>
      <c r="B12" s="90"/>
      <c r="C12" s="90"/>
      <c r="D12" s="90"/>
      <c r="E12" s="134"/>
      <c r="F12" s="108"/>
      <c r="G12" s="133"/>
      <c r="H12" s="108"/>
      <c r="I12" s="90"/>
      <c r="J12" s="134"/>
      <c r="K12" s="133"/>
      <c r="L12" s="108"/>
      <c r="M12" s="90"/>
      <c r="N12" s="90"/>
      <c r="O12" s="90"/>
      <c r="P12" s="90"/>
    </row>
    <row r="13" spans="1:16" ht="18.75" x14ac:dyDescent="0.3">
      <c r="A13" s="90"/>
      <c r="B13" s="90"/>
      <c r="C13" s="90"/>
      <c r="D13" s="90"/>
      <c r="E13" s="131" t="s">
        <v>38</v>
      </c>
      <c r="F13" s="107">
        <f>SUM(F2:F11)</f>
        <v>5150.8500000000004</v>
      </c>
      <c r="G13" s="107">
        <f>SUM(G2:G11)</f>
        <v>4479</v>
      </c>
      <c r="H13" s="107">
        <f>SUM(H2:H11)</f>
        <v>671.85</v>
      </c>
      <c r="I13" s="90"/>
      <c r="J13" s="90"/>
      <c r="K13" s="107">
        <f t="shared" ref="K13:M13" si="5">SUM(K2:K11)</f>
        <v>89.58</v>
      </c>
      <c r="L13" s="107">
        <f t="shared" si="5"/>
        <v>5061.2700000000004</v>
      </c>
      <c r="M13" s="106">
        <f t="shared" si="5"/>
        <v>5061</v>
      </c>
      <c r="N13" s="132"/>
      <c r="O13" s="90"/>
      <c r="P13" s="90"/>
    </row>
    <row r="14" spans="1:16" ht="18.75" x14ac:dyDescent="0.3">
      <c r="A14" s="90"/>
      <c r="B14" s="90"/>
      <c r="C14" s="90"/>
      <c r="D14" s="90"/>
      <c r="E14" s="48" t="s">
        <v>39</v>
      </c>
      <c r="F14" s="108"/>
      <c r="G14" s="133"/>
      <c r="H14" s="108"/>
      <c r="I14" s="90"/>
      <c r="J14" s="134"/>
      <c r="K14" s="133"/>
      <c r="L14" s="108"/>
      <c r="M14" s="90"/>
      <c r="N14" s="90"/>
      <c r="O14" s="90"/>
      <c r="P14" s="90"/>
    </row>
  </sheetData>
  <hyperlinks>
    <hyperlink ref="E13" location="HOME!A1" display="HOME" xr:uid="{00000000-0004-0000-1B00-000000000000}"/>
    <hyperlink ref="E14" location="MONTHWISE!A1" display="Monthwise" xr:uid="{00000000-0004-0000-1B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4"/>
  <sheetViews>
    <sheetView workbookViewId="0">
      <selection activeCell="E13" sqref="E13"/>
    </sheetView>
  </sheetViews>
  <sheetFormatPr defaultRowHeight="15" x14ac:dyDescent="0.25"/>
  <cols>
    <col min="1" max="1" width="10.5703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2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8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735</v>
      </c>
      <c r="B2" s="100"/>
      <c r="C2" s="100" t="s">
        <v>741</v>
      </c>
      <c r="D2" s="100" t="s">
        <v>80</v>
      </c>
      <c r="E2" s="181" t="s">
        <v>740</v>
      </c>
      <c r="F2" s="75">
        <f t="shared" ref="F2:F8" si="0">SUM(G2:H2)</f>
        <v>10346.549999999999</v>
      </c>
      <c r="G2" s="75">
        <v>8997</v>
      </c>
      <c r="H2" s="75">
        <f t="shared" ref="H2:H8" si="1">G2*15%</f>
        <v>1349.55</v>
      </c>
      <c r="I2" s="76">
        <v>42763</v>
      </c>
      <c r="J2" s="76">
        <f>I2+30</f>
        <v>42793</v>
      </c>
      <c r="K2" s="75">
        <f t="shared" ref="K2:K8" si="2">G2*2%</f>
        <v>179.94</v>
      </c>
      <c r="L2" s="75">
        <f t="shared" ref="L2:L8" si="3">F2-K2</f>
        <v>10166.609999999999</v>
      </c>
      <c r="M2" s="100">
        <v>10167</v>
      </c>
      <c r="N2" s="100" t="s">
        <v>839</v>
      </c>
      <c r="O2" s="10" t="s">
        <v>44</v>
      </c>
      <c r="P2" s="68" t="s">
        <v>122</v>
      </c>
    </row>
    <row r="3" spans="1:16" x14ac:dyDescent="0.25">
      <c r="A3" s="45"/>
      <c r="B3" s="45"/>
      <c r="C3" s="45"/>
      <c r="D3" s="45"/>
      <c r="E3" s="45"/>
      <c r="F3" s="44">
        <f t="shared" si="0"/>
        <v>0</v>
      </c>
      <c r="G3" s="44"/>
      <c r="H3" s="44">
        <f t="shared" si="1"/>
        <v>0</v>
      </c>
      <c r="I3" s="78"/>
      <c r="J3" s="78">
        <f t="shared" ref="J3:J11" si="4">I3+45</f>
        <v>45</v>
      </c>
      <c r="K3" s="44">
        <f t="shared" si="2"/>
        <v>0</v>
      </c>
      <c r="L3" s="44">
        <f t="shared" si="3"/>
        <v>0</v>
      </c>
      <c r="M3" s="45"/>
      <c r="N3" s="45"/>
      <c r="O3" s="45"/>
      <c r="P3" s="99"/>
    </row>
    <row r="4" spans="1:16" x14ac:dyDescent="0.25">
      <c r="A4" s="45"/>
      <c r="B4" s="45"/>
      <c r="C4" s="45"/>
      <c r="D4" s="45"/>
      <c r="E4" s="97"/>
      <c r="F4" s="44">
        <f t="shared" si="0"/>
        <v>0</v>
      </c>
      <c r="G4" s="44"/>
      <c r="H4" s="44">
        <f t="shared" si="1"/>
        <v>0</v>
      </c>
      <c r="I4" s="78"/>
      <c r="J4" s="78">
        <f t="shared" si="4"/>
        <v>45</v>
      </c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44"/>
      <c r="H5" s="44">
        <f t="shared" si="1"/>
        <v>0</v>
      </c>
      <c r="I5" s="17"/>
      <c r="J5" s="78">
        <f t="shared" si="4"/>
        <v>45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44"/>
      <c r="H6" s="44">
        <f t="shared" si="1"/>
        <v>0</v>
      </c>
      <c r="I6" s="17"/>
      <c r="J6" s="78">
        <f t="shared" si="4"/>
        <v>45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105"/>
      <c r="E7" s="97"/>
      <c r="F7" s="44">
        <f t="shared" si="0"/>
        <v>0</v>
      </c>
      <c r="G7" s="44"/>
      <c r="H7" s="44">
        <f t="shared" si="1"/>
        <v>0</v>
      </c>
      <c r="I7" s="17"/>
      <c r="J7" s="78">
        <f t="shared" si="4"/>
        <v>45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44"/>
      <c r="H8" s="44">
        <f t="shared" si="1"/>
        <v>0</v>
      </c>
      <c r="I8" s="17"/>
      <c r="J8" s="78">
        <f t="shared" si="4"/>
        <v>45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45"/>
      <c r="E9" s="97"/>
      <c r="F9" s="44"/>
      <c r="G9" s="44"/>
      <c r="H9" s="44"/>
      <c r="I9" s="17"/>
      <c r="J9" s="78">
        <f t="shared" si="4"/>
        <v>45</v>
      </c>
      <c r="K9" s="44"/>
      <c r="L9" s="44"/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98"/>
      <c r="G10" s="98"/>
      <c r="H10" s="98"/>
      <c r="I10" s="45"/>
      <c r="J10" s="78">
        <f t="shared" si="4"/>
        <v>45</v>
      </c>
      <c r="K10" s="98"/>
      <c r="L10" s="98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78">
        <f t="shared" si="4"/>
        <v>45</v>
      </c>
      <c r="K11" s="98"/>
      <c r="L11" s="98"/>
      <c r="M11" s="45"/>
      <c r="N11" s="45"/>
      <c r="O11" s="45"/>
      <c r="P11" s="105"/>
    </row>
    <row r="12" spans="1:16" x14ac:dyDescent="0.25">
      <c r="A12" s="90"/>
      <c r="B12" s="90"/>
      <c r="C12" s="90"/>
      <c r="D12" s="90"/>
      <c r="E12" s="134"/>
      <c r="F12" s="108"/>
      <c r="G12" s="133"/>
      <c r="H12" s="108"/>
      <c r="I12" s="90"/>
      <c r="J12" s="134"/>
      <c r="K12" s="133"/>
      <c r="L12" s="108"/>
      <c r="M12" s="90"/>
      <c r="N12" s="90"/>
      <c r="O12" s="90"/>
      <c r="P12" s="90"/>
    </row>
    <row r="13" spans="1:16" ht="18.75" x14ac:dyDescent="0.3">
      <c r="A13" s="90"/>
      <c r="B13" s="90"/>
      <c r="C13" s="90"/>
      <c r="D13" s="90"/>
      <c r="E13" s="131" t="s">
        <v>38</v>
      </c>
      <c r="F13" s="107">
        <f>SUM(F2:F11)</f>
        <v>10346.549999999999</v>
      </c>
      <c r="G13" s="107">
        <f>SUM(G2:G11)</f>
        <v>8997</v>
      </c>
      <c r="H13" s="107">
        <f>SUM(H2:H11)</f>
        <v>1349.55</v>
      </c>
      <c r="I13" s="90"/>
      <c r="J13" s="90"/>
      <c r="K13" s="107">
        <f t="shared" ref="K13:M13" si="5">SUM(K2:K11)</f>
        <v>179.94</v>
      </c>
      <c r="L13" s="107">
        <f t="shared" si="5"/>
        <v>10166.609999999999</v>
      </c>
      <c r="M13" s="106">
        <f t="shared" si="5"/>
        <v>10167</v>
      </c>
      <c r="N13" s="132"/>
      <c r="O13" s="90"/>
      <c r="P13" s="90"/>
    </row>
    <row r="14" spans="1:16" ht="18.75" x14ac:dyDescent="0.3">
      <c r="A14" s="90"/>
      <c r="B14" s="90"/>
      <c r="C14" s="90"/>
      <c r="D14" s="90"/>
      <c r="E14" s="48" t="s">
        <v>39</v>
      </c>
      <c r="F14" s="108"/>
      <c r="G14" s="133"/>
      <c r="H14" s="108"/>
      <c r="I14" s="90"/>
      <c r="J14" s="134"/>
      <c r="K14" s="133"/>
      <c r="L14" s="108"/>
      <c r="M14" s="90"/>
      <c r="N14" s="90"/>
      <c r="O14" s="90"/>
      <c r="P14" s="90"/>
    </row>
  </sheetData>
  <hyperlinks>
    <hyperlink ref="E13" location="HOME!A1" display="HOME" xr:uid="{00000000-0004-0000-1C00-000000000000}"/>
    <hyperlink ref="E14" location="MONTHWISE!A1" display="Monthwise" xr:uid="{00000000-0004-0000-1C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14"/>
  <sheetViews>
    <sheetView workbookViewId="0">
      <selection activeCell="E14" sqref="E14"/>
    </sheetView>
  </sheetViews>
  <sheetFormatPr defaultRowHeight="15" x14ac:dyDescent="0.25"/>
  <cols>
    <col min="1" max="1" width="11.42578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1.140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8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836</v>
      </c>
      <c r="B2" s="100"/>
      <c r="C2" s="100" t="s">
        <v>124</v>
      </c>
      <c r="D2" s="100" t="s">
        <v>61</v>
      </c>
      <c r="E2" s="181" t="s">
        <v>837</v>
      </c>
      <c r="F2" s="75">
        <f t="shared" ref="F2:F8" si="0">SUM(G2:H2)</f>
        <v>9994.65</v>
      </c>
      <c r="G2" s="75">
        <v>8691</v>
      </c>
      <c r="H2" s="75">
        <f t="shared" ref="H2:H8" si="1">G2*15%</f>
        <v>1303.6499999999999</v>
      </c>
      <c r="I2" s="76">
        <v>42763</v>
      </c>
      <c r="J2" s="76">
        <f>I2+30</f>
        <v>42793</v>
      </c>
      <c r="K2" s="75">
        <f t="shared" ref="K2:K8" si="2">G2*2%</f>
        <v>173.82</v>
      </c>
      <c r="L2" s="75">
        <f t="shared" ref="L2:L8" si="3">F2-K2</f>
        <v>9820.83</v>
      </c>
      <c r="M2" s="100">
        <v>9995</v>
      </c>
      <c r="N2" s="100" t="s">
        <v>848</v>
      </c>
      <c r="O2" s="10" t="s">
        <v>44</v>
      </c>
      <c r="P2" s="68" t="s">
        <v>122</v>
      </c>
    </row>
    <row r="3" spans="1:16" x14ac:dyDescent="0.25">
      <c r="A3" s="45"/>
      <c r="B3" s="45"/>
      <c r="C3" s="45"/>
      <c r="D3" s="45"/>
      <c r="E3" s="45"/>
      <c r="F3" s="44">
        <f t="shared" si="0"/>
        <v>0</v>
      </c>
      <c r="G3" s="44"/>
      <c r="H3" s="44">
        <f t="shared" si="1"/>
        <v>0</v>
      </c>
      <c r="I3" s="78"/>
      <c r="J3" s="78">
        <f t="shared" ref="J3:J11" si="4">I3+45</f>
        <v>45</v>
      </c>
      <c r="K3" s="44">
        <f t="shared" si="2"/>
        <v>0</v>
      </c>
      <c r="L3" s="44">
        <f t="shared" si="3"/>
        <v>0</v>
      </c>
      <c r="M3" s="45"/>
      <c r="N3" s="45"/>
      <c r="O3" s="45"/>
      <c r="P3" s="99"/>
    </row>
    <row r="4" spans="1:16" x14ac:dyDescent="0.25">
      <c r="A4" s="45"/>
      <c r="B4" s="45"/>
      <c r="C4" s="45"/>
      <c r="D4" s="45"/>
      <c r="E4" s="97"/>
      <c r="F4" s="44">
        <f t="shared" si="0"/>
        <v>0</v>
      </c>
      <c r="G4" s="44"/>
      <c r="H4" s="44">
        <f t="shared" si="1"/>
        <v>0</v>
      </c>
      <c r="I4" s="78"/>
      <c r="J4" s="78">
        <f t="shared" si="4"/>
        <v>45</v>
      </c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44"/>
      <c r="H5" s="44">
        <f t="shared" si="1"/>
        <v>0</v>
      </c>
      <c r="I5" s="17"/>
      <c r="J5" s="78">
        <f t="shared" si="4"/>
        <v>45</v>
      </c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44"/>
      <c r="H6" s="44">
        <f t="shared" si="1"/>
        <v>0</v>
      </c>
      <c r="I6" s="17"/>
      <c r="J6" s="78">
        <f t="shared" si="4"/>
        <v>45</v>
      </c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105"/>
      <c r="E7" s="97"/>
      <c r="F7" s="44">
        <f t="shared" si="0"/>
        <v>0</v>
      </c>
      <c r="G7" s="44"/>
      <c r="H7" s="44">
        <f t="shared" si="1"/>
        <v>0</v>
      </c>
      <c r="I7" s="17"/>
      <c r="J7" s="78">
        <f t="shared" si="4"/>
        <v>45</v>
      </c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44"/>
      <c r="H8" s="44">
        <f t="shared" si="1"/>
        <v>0</v>
      </c>
      <c r="I8" s="17"/>
      <c r="J8" s="78">
        <f t="shared" si="4"/>
        <v>45</v>
      </c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45"/>
      <c r="E9" s="97"/>
      <c r="F9" s="44"/>
      <c r="G9" s="44"/>
      <c r="H9" s="44"/>
      <c r="I9" s="17"/>
      <c r="J9" s="78">
        <f t="shared" si="4"/>
        <v>45</v>
      </c>
      <c r="K9" s="44"/>
      <c r="L9" s="44"/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98"/>
      <c r="G10" s="98"/>
      <c r="H10" s="98"/>
      <c r="I10" s="45"/>
      <c r="J10" s="78">
        <f t="shared" si="4"/>
        <v>45</v>
      </c>
      <c r="K10" s="98"/>
      <c r="L10" s="98"/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78">
        <f t="shared" si="4"/>
        <v>45</v>
      </c>
      <c r="K11" s="98"/>
      <c r="L11" s="98"/>
      <c r="M11" s="45"/>
      <c r="N11" s="45"/>
      <c r="O11" s="45"/>
      <c r="P11" s="105"/>
    </row>
    <row r="12" spans="1:16" x14ac:dyDescent="0.25">
      <c r="A12" s="90"/>
      <c r="B12" s="90"/>
      <c r="C12" s="90"/>
      <c r="D12" s="90"/>
      <c r="E12" s="134"/>
      <c r="F12" s="108"/>
      <c r="G12" s="133"/>
      <c r="H12" s="108"/>
      <c r="I12" s="90"/>
      <c r="J12" s="134"/>
      <c r="K12" s="133"/>
      <c r="L12" s="108"/>
      <c r="M12" s="90"/>
      <c r="N12" s="90"/>
      <c r="O12" s="90"/>
      <c r="P12" s="90"/>
    </row>
    <row r="13" spans="1:16" ht="18.75" x14ac:dyDescent="0.3">
      <c r="A13" s="90"/>
      <c r="B13" s="90"/>
      <c r="C13" s="90"/>
      <c r="D13" s="90"/>
      <c r="E13" s="131" t="s">
        <v>38</v>
      </c>
      <c r="F13" s="107">
        <f>SUM(F2:F11)</f>
        <v>9994.65</v>
      </c>
      <c r="G13" s="107">
        <f>SUM(G2:G11)</f>
        <v>8691</v>
      </c>
      <c r="H13" s="107">
        <f>SUM(H2:H11)</f>
        <v>1303.6499999999999</v>
      </c>
      <c r="I13" s="90"/>
      <c r="J13" s="90"/>
      <c r="K13" s="107">
        <f t="shared" ref="K13:M13" si="5">SUM(K2:K11)</f>
        <v>173.82</v>
      </c>
      <c r="L13" s="107">
        <f t="shared" si="5"/>
        <v>9820.83</v>
      </c>
      <c r="M13" s="106">
        <f t="shared" si="5"/>
        <v>9995</v>
      </c>
      <c r="N13" s="132"/>
      <c r="O13" s="90"/>
      <c r="P13" s="90"/>
    </row>
    <row r="14" spans="1:16" ht="18.75" x14ac:dyDescent="0.3">
      <c r="A14" s="90"/>
      <c r="B14" s="90"/>
      <c r="C14" s="90"/>
      <c r="D14" s="90"/>
      <c r="E14" s="48" t="s">
        <v>39</v>
      </c>
      <c r="F14" s="108"/>
      <c r="G14" s="133"/>
      <c r="H14" s="108"/>
      <c r="I14" s="90"/>
      <c r="J14" s="134"/>
      <c r="K14" s="133"/>
      <c r="L14" s="108"/>
      <c r="M14" s="90"/>
      <c r="N14" s="90"/>
      <c r="O14" s="90"/>
      <c r="P14" s="90"/>
    </row>
  </sheetData>
  <hyperlinks>
    <hyperlink ref="E13" location="HOME!A1" display="HOME" xr:uid="{00000000-0004-0000-1D00-000000000000}"/>
    <hyperlink ref="E14" location="MONTHWISE!A1" display="Monthwise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9"/>
  <dimension ref="A1:P24"/>
  <sheetViews>
    <sheetView workbookViewId="0">
      <selection activeCell="E16" sqref="E16"/>
    </sheetView>
  </sheetViews>
  <sheetFormatPr defaultRowHeight="15" x14ac:dyDescent="0.25"/>
  <cols>
    <col min="1" max="1" width="12.8554687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2.140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5703125" bestFit="1" customWidth="1"/>
    <col min="16" max="16" width="11.7109375" bestFit="1" customWidth="1"/>
  </cols>
  <sheetData>
    <row r="1" spans="1:16" x14ac:dyDescent="0.25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64" t="s">
        <v>37</v>
      </c>
    </row>
    <row r="2" spans="1:16" x14ac:dyDescent="0.25">
      <c r="A2" s="17"/>
      <c r="B2" s="17"/>
      <c r="C2" s="17"/>
      <c r="D2" s="17"/>
      <c r="E2" s="44"/>
      <c r="F2" s="44"/>
      <c r="G2" s="44"/>
      <c r="H2" s="44"/>
      <c r="I2" s="17"/>
      <c r="J2" s="44"/>
      <c r="K2" s="44"/>
      <c r="L2" s="44"/>
      <c r="M2" s="17"/>
      <c r="N2" s="17"/>
      <c r="O2" s="17"/>
      <c r="P2" s="17"/>
    </row>
    <row r="3" spans="1:16" x14ac:dyDescent="0.25">
      <c r="A3" s="17"/>
      <c r="B3" s="17"/>
      <c r="C3" s="17"/>
      <c r="D3" s="17"/>
      <c r="E3" s="44"/>
      <c r="F3" s="44"/>
      <c r="G3" s="44"/>
      <c r="H3" s="44"/>
      <c r="I3" s="17"/>
      <c r="J3" s="44"/>
      <c r="K3" s="44"/>
      <c r="L3" s="44"/>
      <c r="M3" s="17"/>
      <c r="N3" s="17"/>
      <c r="O3" s="17"/>
      <c r="P3" s="17"/>
    </row>
    <row r="4" spans="1:16" x14ac:dyDescent="0.25">
      <c r="A4" s="17"/>
      <c r="B4" s="17"/>
      <c r="C4" s="17"/>
      <c r="D4" s="17"/>
      <c r="E4" s="44"/>
      <c r="F4" s="44"/>
      <c r="G4" s="44"/>
      <c r="H4" s="44"/>
      <c r="I4" s="17"/>
      <c r="J4" s="44"/>
      <c r="K4" s="44"/>
      <c r="L4" s="44"/>
      <c r="M4" s="17"/>
      <c r="N4" s="17"/>
      <c r="O4" s="17"/>
      <c r="P4" s="17"/>
    </row>
    <row r="5" spans="1:16" x14ac:dyDescent="0.25">
      <c r="A5" s="17"/>
      <c r="B5" s="17"/>
      <c r="C5" s="17"/>
      <c r="D5" s="17"/>
      <c r="E5" s="44"/>
      <c r="F5" s="44"/>
      <c r="G5" s="44"/>
      <c r="H5" s="44"/>
      <c r="I5" s="17"/>
      <c r="J5" s="44"/>
      <c r="K5" s="44"/>
      <c r="L5" s="44"/>
      <c r="M5" s="17"/>
      <c r="N5" s="17"/>
      <c r="O5" s="17"/>
      <c r="P5" s="23"/>
    </row>
    <row r="6" spans="1:16" x14ac:dyDescent="0.25">
      <c r="A6" s="17"/>
      <c r="B6" s="17"/>
      <c r="C6" s="17"/>
      <c r="D6" s="17"/>
      <c r="E6" s="44"/>
      <c r="F6" s="44"/>
      <c r="G6" s="44"/>
      <c r="H6" s="44"/>
      <c r="I6" s="17"/>
      <c r="J6" s="44"/>
      <c r="K6" s="44"/>
      <c r="L6" s="44"/>
      <c r="M6" s="17"/>
      <c r="N6" s="17"/>
      <c r="O6" s="17"/>
      <c r="P6" s="23"/>
    </row>
    <row r="7" spans="1:16" x14ac:dyDescent="0.25">
      <c r="A7" s="17"/>
      <c r="B7" s="17"/>
      <c r="C7" s="17"/>
      <c r="D7" s="17"/>
      <c r="E7" s="44"/>
      <c r="F7" s="44"/>
      <c r="G7" s="44"/>
      <c r="H7" s="44"/>
      <c r="I7" s="17"/>
      <c r="J7" s="44"/>
      <c r="K7" s="44"/>
      <c r="L7" s="44"/>
      <c r="M7" s="17"/>
      <c r="N7" s="17"/>
      <c r="O7" s="17"/>
      <c r="P7" s="23"/>
    </row>
    <row r="8" spans="1:16" x14ac:dyDescent="0.25">
      <c r="A8" s="17"/>
      <c r="B8" s="17"/>
      <c r="C8" s="17"/>
      <c r="D8" s="17"/>
      <c r="E8" s="44"/>
      <c r="F8" s="44"/>
      <c r="G8" s="44"/>
      <c r="H8" s="44"/>
      <c r="I8" s="17"/>
      <c r="J8" s="44"/>
      <c r="K8" s="44"/>
      <c r="L8" s="44"/>
      <c r="M8" s="17"/>
      <c r="N8" s="17"/>
      <c r="O8" s="17"/>
      <c r="P8" s="23"/>
    </row>
    <row r="9" spans="1:16" x14ac:dyDescent="0.25">
      <c r="A9" s="17"/>
      <c r="B9" s="17"/>
      <c r="C9" s="17"/>
      <c r="D9" s="17"/>
      <c r="E9" s="44"/>
      <c r="F9" s="44"/>
      <c r="G9" s="44"/>
      <c r="H9" s="44"/>
      <c r="I9" s="17"/>
      <c r="J9" s="44"/>
      <c r="K9" s="44"/>
      <c r="L9" s="44"/>
      <c r="M9" s="17"/>
      <c r="N9" s="17"/>
      <c r="O9" s="17"/>
      <c r="P9" s="23"/>
    </row>
    <row r="10" spans="1:16" x14ac:dyDescent="0.25">
      <c r="A10" s="17"/>
      <c r="B10" s="17"/>
      <c r="C10" s="17"/>
      <c r="D10" s="17"/>
      <c r="E10" s="44"/>
      <c r="F10" s="44"/>
      <c r="G10" s="44"/>
      <c r="H10" s="44"/>
      <c r="I10" s="17"/>
      <c r="J10" s="44"/>
      <c r="K10" s="44"/>
      <c r="L10" s="44"/>
      <c r="M10" s="17"/>
      <c r="N10" s="17"/>
      <c r="O10" s="17"/>
      <c r="P10" s="23"/>
    </row>
    <row r="11" spans="1:16" x14ac:dyDescent="0.25">
      <c r="A11" s="17"/>
      <c r="B11" s="17"/>
      <c r="C11" s="17"/>
      <c r="D11" s="17"/>
      <c r="E11" s="44"/>
      <c r="F11" s="44"/>
      <c r="G11" s="44"/>
      <c r="H11" s="44"/>
      <c r="I11" s="17"/>
      <c r="J11" s="44"/>
      <c r="K11" s="44"/>
      <c r="L11" s="44"/>
      <c r="M11" s="17"/>
      <c r="N11" s="17"/>
      <c r="O11" s="17"/>
      <c r="P11" s="23"/>
    </row>
    <row r="12" spans="1:16" x14ac:dyDescent="0.25">
      <c r="A12" s="17"/>
      <c r="B12" s="17"/>
      <c r="C12" s="17"/>
      <c r="D12" s="17"/>
      <c r="E12" s="44"/>
      <c r="F12" s="44"/>
      <c r="G12" s="44"/>
      <c r="H12" s="44"/>
      <c r="I12" s="17"/>
      <c r="J12" s="44"/>
      <c r="K12" s="44"/>
      <c r="L12" s="44"/>
      <c r="M12" s="17"/>
      <c r="N12" s="17"/>
      <c r="O12" s="17"/>
      <c r="P12" s="23"/>
    </row>
    <row r="13" spans="1:16" x14ac:dyDescent="0.25">
      <c r="A13" s="17"/>
      <c r="B13" s="17"/>
      <c r="C13" s="17"/>
      <c r="D13" s="17"/>
      <c r="E13" s="44"/>
      <c r="F13" s="44"/>
      <c r="G13" s="44"/>
      <c r="H13" s="44"/>
      <c r="I13" s="17"/>
      <c r="J13" s="44"/>
      <c r="K13" s="44"/>
      <c r="L13" s="44"/>
      <c r="M13" s="17"/>
      <c r="N13" s="17"/>
      <c r="O13" s="17"/>
      <c r="P13" s="23"/>
    </row>
    <row r="14" spans="1:16" x14ac:dyDescent="0.25">
      <c r="A14" s="17"/>
      <c r="B14" s="17"/>
      <c r="C14" s="17"/>
      <c r="D14" s="17"/>
      <c r="E14" s="44"/>
      <c r="F14" s="44"/>
      <c r="G14" s="44"/>
      <c r="H14" s="44"/>
      <c r="I14" s="17"/>
      <c r="J14" s="44"/>
      <c r="K14" s="44"/>
      <c r="L14" s="44"/>
      <c r="M14" s="17"/>
      <c r="N14" s="17"/>
      <c r="O14" s="17"/>
      <c r="P14" s="17"/>
    </row>
    <row r="15" spans="1:16" x14ac:dyDescent="0.25">
      <c r="A15" s="5"/>
      <c r="B15" s="5"/>
      <c r="C15" s="5"/>
      <c r="D15" s="5"/>
      <c r="E15" s="32"/>
      <c r="F15" s="32"/>
      <c r="G15" s="32"/>
      <c r="H15" s="32"/>
      <c r="I15" s="5"/>
      <c r="J15" s="32"/>
      <c r="K15" s="32"/>
      <c r="L15" s="32"/>
      <c r="M15" s="5"/>
      <c r="N15" s="5"/>
      <c r="O15" s="5"/>
      <c r="P15" s="5"/>
    </row>
    <row r="16" spans="1:16" ht="23.25" x14ac:dyDescent="0.35">
      <c r="A16" s="5"/>
      <c r="B16" s="5"/>
      <c r="C16" s="5"/>
      <c r="D16" s="5"/>
      <c r="E16" s="46" t="s">
        <v>38</v>
      </c>
      <c r="F16" s="33">
        <f>SUM(F2:F14)</f>
        <v>0</v>
      </c>
      <c r="G16" s="33">
        <f>SUM(G2:G14)</f>
        <v>0</v>
      </c>
      <c r="H16" s="33">
        <f>SUM(H2:H14)</f>
        <v>0</v>
      </c>
      <c r="I16" s="32"/>
      <c r="J16" s="5"/>
      <c r="K16" s="33">
        <f>SUM(K2:K14)</f>
        <v>0</v>
      </c>
      <c r="L16" s="33">
        <f>SUM(L2:L14)</f>
        <v>0</v>
      </c>
      <c r="M16" s="33">
        <f>SUM(M2:M14)</f>
        <v>0</v>
      </c>
      <c r="N16" s="5"/>
      <c r="O16" s="5"/>
      <c r="P16" s="32"/>
    </row>
    <row r="17" spans="5:12" ht="18.75" x14ac:dyDescent="0.3">
      <c r="E17" s="48" t="s">
        <v>39</v>
      </c>
    </row>
    <row r="20" spans="5:12" x14ac:dyDescent="0.25">
      <c r="L20" s="125">
        <v>65394</v>
      </c>
    </row>
    <row r="21" spans="5:12" ht="18.75" x14ac:dyDescent="0.3">
      <c r="L21" s="126">
        <v>25264</v>
      </c>
    </row>
    <row r="22" spans="5:12" x14ac:dyDescent="0.25">
      <c r="L22" s="125">
        <f>SUM(L20:L21)</f>
        <v>90658</v>
      </c>
    </row>
    <row r="23" spans="5:12" x14ac:dyDescent="0.25">
      <c r="L23">
        <f>L22*10%</f>
        <v>9065.8000000000011</v>
      </c>
    </row>
    <row r="24" spans="5:12" x14ac:dyDescent="0.25">
      <c r="L24" s="125">
        <f>L22-L23</f>
        <v>81592.2</v>
      </c>
    </row>
  </sheetData>
  <hyperlinks>
    <hyperlink ref="E16" location="HOME!A1" display="HOME" xr:uid="{00000000-0004-0000-1E00-000000000000}"/>
    <hyperlink ref="E17" location="MONTHWISE!A1" display="Monthwise" xr:uid="{00000000-0004-0000-1E00-000001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0"/>
  <dimension ref="A1:P17"/>
  <sheetViews>
    <sheetView workbookViewId="0">
      <selection activeCell="E17" sqref="E17"/>
    </sheetView>
  </sheetViews>
  <sheetFormatPr defaultRowHeight="15" x14ac:dyDescent="0.25"/>
  <cols>
    <col min="1" max="1" width="11.5703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2.1406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12.7109375" bestFit="1" customWidth="1"/>
  </cols>
  <sheetData>
    <row r="1" spans="1:16" x14ac:dyDescent="0.25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64" t="s">
        <v>37</v>
      </c>
    </row>
    <row r="2" spans="1:16" x14ac:dyDescent="0.25">
      <c r="A2" s="17"/>
      <c r="B2" s="17"/>
      <c r="C2" s="17"/>
      <c r="D2" s="17"/>
      <c r="E2" s="44"/>
      <c r="F2" s="44"/>
      <c r="G2" s="44"/>
      <c r="H2" s="44"/>
      <c r="I2" s="17"/>
      <c r="J2" s="44"/>
      <c r="K2" s="44"/>
      <c r="L2" s="44"/>
      <c r="M2" s="17"/>
      <c r="N2" s="17"/>
      <c r="O2" s="95"/>
      <c r="P2" s="117"/>
    </row>
    <row r="3" spans="1:16" x14ac:dyDescent="0.25">
      <c r="A3" s="17"/>
      <c r="B3" s="17"/>
      <c r="C3" s="17"/>
      <c r="D3" s="17"/>
      <c r="E3" s="44"/>
      <c r="F3" s="44"/>
      <c r="G3" s="44"/>
      <c r="H3" s="44"/>
      <c r="I3" s="17"/>
      <c r="J3" s="44"/>
      <c r="K3" s="44"/>
      <c r="L3" s="44"/>
      <c r="M3" s="17"/>
      <c r="N3" s="17"/>
      <c r="O3" s="95"/>
      <c r="P3" s="117"/>
    </row>
    <row r="4" spans="1:16" x14ac:dyDescent="0.25">
      <c r="A4" s="17"/>
      <c r="B4" s="17"/>
      <c r="C4" s="17"/>
      <c r="D4" s="17"/>
      <c r="E4" s="44"/>
      <c r="F4" s="44"/>
      <c r="G4" s="44"/>
      <c r="H4" s="44"/>
      <c r="I4" s="17"/>
      <c r="J4" s="44"/>
      <c r="K4" s="44"/>
      <c r="L4" s="44"/>
      <c r="M4" s="17"/>
      <c r="N4" s="17"/>
      <c r="O4" s="95"/>
      <c r="P4" s="117"/>
    </row>
    <row r="5" spans="1:16" x14ac:dyDescent="0.25">
      <c r="A5" s="17"/>
      <c r="B5" s="17"/>
      <c r="C5" s="17"/>
      <c r="D5" s="17"/>
      <c r="E5" s="44"/>
      <c r="F5" s="44"/>
      <c r="G5" s="44"/>
      <c r="H5" s="44"/>
      <c r="I5" s="17"/>
      <c r="J5" s="44"/>
      <c r="K5" s="44"/>
      <c r="L5" s="44"/>
      <c r="M5" s="17"/>
      <c r="N5" s="17"/>
      <c r="O5" s="95"/>
      <c r="P5" s="117"/>
    </row>
    <row r="6" spans="1:16" x14ac:dyDescent="0.25">
      <c r="A6" s="17"/>
      <c r="B6" s="17"/>
      <c r="C6" s="17"/>
      <c r="D6" s="17"/>
      <c r="E6" s="44"/>
      <c r="F6" s="44"/>
      <c r="G6" s="44"/>
      <c r="H6" s="44"/>
      <c r="I6" s="17"/>
      <c r="J6" s="44"/>
      <c r="K6" s="44"/>
      <c r="L6" s="44"/>
      <c r="M6" s="17"/>
      <c r="N6" s="17"/>
      <c r="O6" s="17"/>
      <c r="P6" s="23"/>
    </row>
    <row r="7" spans="1:16" x14ac:dyDescent="0.25">
      <c r="A7" s="17"/>
      <c r="B7" s="17"/>
      <c r="C7" s="17"/>
      <c r="D7" s="17"/>
      <c r="E7" s="44"/>
      <c r="F7" s="44"/>
      <c r="G7" s="44"/>
      <c r="H7" s="44"/>
      <c r="I7" s="17"/>
      <c r="J7" s="44"/>
      <c r="K7" s="44"/>
      <c r="L7" s="44"/>
      <c r="M7" s="17"/>
      <c r="N7" s="17"/>
      <c r="O7" s="17"/>
      <c r="P7" s="23"/>
    </row>
    <row r="8" spans="1:16" x14ac:dyDescent="0.25">
      <c r="A8" s="17"/>
      <c r="B8" s="17"/>
      <c r="C8" s="17"/>
      <c r="D8" s="17"/>
      <c r="E8" s="44"/>
      <c r="F8" s="44"/>
      <c r="G8" s="44"/>
      <c r="H8" s="44"/>
      <c r="I8" s="17"/>
      <c r="J8" s="44"/>
      <c r="K8" s="44"/>
      <c r="L8" s="44"/>
      <c r="M8" s="17"/>
      <c r="N8" s="17"/>
      <c r="O8" s="17"/>
      <c r="P8" s="23"/>
    </row>
    <row r="9" spans="1:16" x14ac:dyDescent="0.25">
      <c r="A9" s="17"/>
      <c r="B9" s="17"/>
      <c r="C9" s="17"/>
      <c r="D9" s="17"/>
      <c r="E9" s="44"/>
      <c r="F9" s="44"/>
      <c r="G9" s="44"/>
      <c r="H9" s="44"/>
      <c r="I9" s="17"/>
      <c r="J9" s="44"/>
      <c r="K9" s="44"/>
      <c r="L9" s="44"/>
      <c r="M9" s="17"/>
      <c r="N9" s="17"/>
      <c r="O9" s="17"/>
      <c r="P9" s="23"/>
    </row>
    <row r="10" spans="1:16" x14ac:dyDescent="0.25">
      <c r="A10" s="17"/>
      <c r="B10" s="17"/>
      <c r="C10" s="17"/>
      <c r="D10" s="17"/>
      <c r="E10" s="44"/>
      <c r="F10" s="44"/>
      <c r="G10" s="44"/>
      <c r="H10" s="44"/>
      <c r="I10" s="17"/>
      <c r="J10" s="44"/>
      <c r="K10" s="44"/>
      <c r="L10" s="44"/>
      <c r="M10" s="17"/>
      <c r="N10" s="17"/>
      <c r="O10" s="17"/>
      <c r="P10" s="23"/>
    </row>
    <row r="11" spans="1:16" x14ac:dyDescent="0.25">
      <c r="A11" s="17"/>
      <c r="B11" s="17"/>
      <c r="C11" s="17"/>
      <c r="D11" s="17"/>
      <c r="E11" s="44"/>
      <c r="F11" s="44"/>
      <c r="G11" s="44"/>
      <c r="H11" s="44"/>
      <c r="I11" s="17"/>
      <c r="J11" s="44"/>
      <c r="K11" s="44"/>
      <c r="L11" s="44"/>
      <c r="M11" s="17"/>
      <c r="N11" s="17"/>
      <c r="O11" s="17"/>
      <c r="P11" s="23"/>
    </row>
    <row r="12" spans="1:16" x14ac:dyDescent="0.25">
      <c r="A12" s="17"/>
      <c r="B12" s="17"/>
      <c r="C12" s="17"/>
      <c r="D12" s="17"/>
      <c r="E12" s="44"/>
      <c r="F12" s="44"/>
      <c r="G12" s="44"/>
      <c r="H12" s="44"/>
      <c r="I12" s="17"/>
      <c r="J12" s="44"/>
      <c r="K12" s="44"/>
      <c r="L12" s="44"/>
      <c r="M12" s="17"/>
      <c r="N12" s="17"/>
      <c r="O12" s="17"/>
      <c r="P12" s="23"/>
    </row>
    <row r="13" spans="1:16" x14ac:dyDescent="0.25">
      <c r="A13" s="17"/>
      <c r="B13" s="17"/>
      <c r="C13" s="17"/>
      <c r="D13" s="17"/>
      <c r="E13" s="44"/>
      <c r="F13" s="44"/>
      <c r="G13" s="44"/>
      <c r="H13" s="44"/>
      <c r="I13" s="17"/>
      <c r="J13" s="44"/>
      <c r="K13" s="44"/>
      <c r="L13" s="44"/>
      <c r="M13" s="17"/>
      <c r="N13" s="17"/>
      <c r="O13" s="17"/>
      <c r="P13" s="23"/>
    </row>
    <row r="14" spans="1:16" x14ac:dyDescent="0.25">
      <c r="A14" s="17"/>
      <c r="B14" s="17"/>
      <c r="C14" s="17"/>
      <c r="D14" s="17"/>
      <c r="E14" s="44"/>
      <c r="F14" s="44"/>
      <c r="G14" s="44"/>
      <c r="H14" s="44"/>
      <c r="I14" s="17"/>
      <c r="J14" s="44"/>
      <c r="K14" s="44"/>
      <c r="L14" s="44"/>
      <c r="M14" s="17"/>
      <c r="N14" s="17"/>
      <c r="O14" s="17"/>
      <c r="P14" s="17"/>
    </row>
    <row r="15" spans="1:16" x14ac:dyDescent="0.25">
      <c r="A15" s="5"/>
      <c r="B15" s="5"/>
      <c r="C15" s="5"/>
      <c r="D15" s="5"/>
      <c r="E15" s="32"/>
      <c r="F15" s="32"/>
      <c r="G15" s="32"/>
      <c r="H15" s="32"/>
      <c r="I15" s="5"/>
      <c r="J15" s="32"/>
      <c r="K15" s="32"/>
      <c r="L15" s="32"/>
      <c r="M15" s="5"/>
      <c r="N15" s="5"/>
      <c r="O15" s="5"/>
      <c r="P15" s="5"/>
    </row>
    <row r="16" spans="1:16" ht="23.25" x14ac:dyDescent="0.35">
      <c r="A16" s="5"/>
      <c r="B16" s="5"/>
      <c r="C16" s="5"/>
      <c r="D16" s="5"/>
      <c r="E16" s="46" t="s">
        <v>38</v>
      </c>
      <c r="F16" s="33">
        <f>SUM(F2:F14)</f>
        <v>0</v>
      </c>
      <c r="G16" s="33">
        <f>SUM(G2:G14)</f>
        <v>0</v>
      </c>
      <c r="H16" s="33">
        <f>SUM(H2:H14)</f>
        <v>0</v>
      </c>
      <c r="I16" s="32"/>
      <c r="J16" s="5"/>
      <c r="K16" s="33">
        <f>SUM(K2:K14)</f>
        <v>0</v>
      </c>
      <c r="L16" s="33">
        <f>SUM(L2:L14)</f>
        <v>0</v>
      </c>
      <c r="M16" s="33">
        <f>SUM(M2:M14)</f>
        <v>0</v>
      </c>
      <c r="N16" s="5"/>
      <c r="O16" s="5"/>
      <c r="P16" s="5"/>
    </row>
    <row r="17" spans="5:5" ht="18.75" x14ac:dyDescent="0.3">
      <c r="E17" s="48" t="s">
        <v>39</v>
      </c>
    </row>
  </sheetData>
  <hyperlinks>
    <hyperlink ref="E16" location="HOME!A1" display="HOME" xr:uid="{00000000-0004-0000-1F00-000000000000}"/>
    <hyperlink ref="E17" location="MONTHWISE!A1" display="Monthwise" xr:uid="{00000000-0004-0000-1F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17"/>
  <sheetViews>
    <sheetView workbookViewId="0">
      <selection activeCell="E14" sqref="E14"/>
    </sheetView>
  </sheetViews>
  <sheetFormatPr defaultColWidth="9.140625" defaultRowHeight="12" x14ac:dyDescent="0.2"/>
  <cols>
    <col min="1" max="1" width="11.42578125" style="90" bestFit="1" customWidth="1"/>
    <col min="2" max="2" width="5.5703125" style="90" bestFit="1" customWidth="1"/>
    <col min="3" max="3" width="8.7109375" style="90" bestFit="1" customWidth="1"/>
    <col min="4" max="4" width="5.5703125" style="90" bestFit="1" customWidth="1"/>
    <col min="5" max="5" width="27" style="134" bestFit="1" customWidth="1"/>
    <col min="6" max="6" width="10.42578125" style="108" bestFit="1" customWidth="1"/>
    <col min="7" max="7" width="9.28515625" style="133" bestFit="1" customWidth="1"/>
    <col min="8" max="8" width="8.7109375" style="108" bestFit="1" customWidth="1"/>
    <col min="9" max="9" width="10.7109375" style="90" bestFit="1" customWidth="1"/>
    <col min="10" max="10" width="7.42578125" style="134" bestFit="1" customWidth="1"/>
    <col min="11" max="11" width="6.5703125" style="133" bestFit="1" customWidth="1"/>
    <col min="12" max="12" width="12.140625" style="108" bestFit="1" customWidth="1"/>
    <col min="13" max="13" width="13.5703125" style="90" bestFit="1" customWidth="1"/>
    <col min="14" max="14" width="14.85546875" style="90" bestFit="1" customWidth="1"/>
    <col min="15" max="15" width="5.42578125" style="90" bestFit="1" customWidth="1"/>
    <col min="16" max="16" width="8.5703125" style="90" bestFit="1" customWidth="1"/>
    <col min="17" max="17" width="16.42578125" style="90" bestFit="1" customWidth="1"/>
    <col min="18" max="16384" width="9.140625" style="90"/>
  </cols>
  <sheetData>
    <row r="1" spans="1:17" x14ac:dyDescent="0.2">
      <c r="A1" s="127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7" ht="12.75" x14ac:dyDescent="0.2">
      <c r="A2" s="45" t="s">
        <v>370</v>
      </c>
      <c r="B2" s="45"/>
      <c r="C2" s="45"/>
      <c r="D2" s="45" t="s">
        <v>84</v>
      </c>
      <c r="E2" s="69" t="s">
        <v>374</v>
      </c>
      <c r="F2" s="44">
        <f t="shared" ref="F2:F10" si="0">SUM(G2:H2)</f>
        <v>25564.5</v>
      </c>
      <c r="G2" s="22">
        <v>22230</v>
      </c>
      <c r="H2" s="44">
        <f t="shared" ref="H2:H10" si="1">G2*15%</f>
        <v>3334.5</v>
      </c>
      <c r="I2" s="130">
        <v>42592</v>
      </c>
      <c r="J2" s="130">
        <f>I2+30</f>
        <v>42622</v>
      </c>
      <c r="K2" s="44">
        <f t="shared" ref="K2:K10" si="2">G2*2%</f>
        <v>444.6</v>
      </c>
      <c r="L2" s="44">
        <f t="shared" ref="L2:L10" si="3">F2-K2</f>
        <v>25119.9</v>
      </c>
      <c r="M2" s="45">
        <v>10000</v>
      </c>
      <c r="N2" s="45"/>
      <c r="O2" s="45"/>
      <c r="P2" s="99"/>
    </row>
    <row r="3" spans="1:17" ht="12.75" x14ac:dyDescent="0.2">
      <c r="A3" s="45"/>
      <c r="B3" s="45"/>
      <c r="C3" s="45"/>
      <c r="D3" s="45"/>
      <c r="E3" s="97"/>
      <c r="F3" s="44">
        <f t="shared" si="0"/>
        <v>0</v>
      </c>
      <c r="G3" s="22"/>
      <c r="H3" s="44">
        <f t="shared" si="1"/>
        <v>0</v>
      </c>
      <c r="I3" s="20"/>
      <c r="J3" s="69"/>
      <c r="K3" s="44">
        <f t="shared" si="2"/>
        <v>0</v>
      </c>
      <c r="L3" s="44">
        <f t="shared" si="3"/>
        <v>0</v>
      </c>
      <c r="M3" s="45"/>
      <c r="N3" s="45"/>
      <c r="O3" s="45"/>
      <c r="P3" s="99"/>
    </row>
    <row r="4" spans="1:17" ht="12.75" x14ac:dyDescent="0.2">
      <c r="A4" s="45"/>
      <c r="B4" s="45"/>
      <c r="C4" s="45"/>
      <c r="D4" s="45"/>
      <c r="E4" s="45"/>
      <c r="F4" s="44">
        <f t="shared" si="0"/>
        <v>0</v>
      </c>
      <c r="G4" s="22"/>
      <c r="H4" s="44">
        <f t="shared" si="1"/>
        <v>0</v>
      </c>
      <c r="I4" s="20"/>
      <c r="J4" s="69"/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7" ht="12.75" x14ac:dyDescent="0.2">
      <c r="A5" s="45"/>
      <c r="B5" s="45"/>
      <c r="C5" s="45"/>
      <c r="D5" s="45"/>
      <c r="E5" s="97"/>
      <c r="F5" s="44">
        <f t="shared" si="0"/>
        <v>0</v>
      </c>
      <c r="G5" s="22"/>
      <c r="H5" s="44">
        <f t="shared" si="1"/>
        <v>0</v>
      </c>
      <c r="I5" s="20"/>
      <c r="J5" s="69"/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7" ht="12.75" x14ac:dyDescent="0.2">
      <c r="A6" s="45"/>
      <c r="B6" s="45"/>
      <c r="C6" s="45"/>
      <c r="D6" s="45"/>
      <c r="E6" s="97"/>
      <c r="F6" s="44">
        <f t="shared" si="0"/>
        <v>0</v>
      </c>
      <c r="G6" s="22"/>
      <c r="H6" s="44">
        <f t="shared" si="1"/>
        <v>0</v>
      </c>
      <c r="I6" s="20"/>
      <c r="J6" s="69"/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7" ht="12.75" x14ac:dyDescent="0.2">
      <c r="A7" s="45"/>
      <c r="B7" s="45"/>
      <c r="C7" s="45"/>
      <c r="D7" s="45"/>
      <c r="E7" s="97"/>
      <c r="F7" s="44">
        <f t="shared" si="0"/>
        <v>0</v>
      </c>
      <c r="G7" s="22"/>
      <c r="H7" s="44">
        <f t="shared" si="1"/>
        <v>0</v>
      </c>
      <c r="I7" s="20"/>
      <c r="J7" s="69"/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7" ht="12.75" x14ac:dyDescent="0.2">
      <c r="A8" s="45"/>
      <c r="B8" s="45"/>
      <c r="C8" s="45"/>
      <c r="D8" s="105"/>
      <c r="E8" s="97"/>
      <c r="F8" s="44">
        <f t="shared" si="0"/>
        <v>0</v>
      </c>
      <c r="G8" s="22"/>
      <c r="H8" s="44">
        <f t="shared" si="1"/>
        <v>0</v>
      </c>
      <c r="I8" s="20"/>
      <c r="J8" s="69"/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7" ht="12.75" x14ac:dyDescent="0.2">
      <c r="A9" s="45"/>
      <c r="B9" s="45"/>
      <c r="C9" s="45"/>
      <c r="D9" s="105"/>
      <c r="E9" s="97"/>
      <c r="F9" s="44">
        <f t="shared" si="0"/>
        <v>0</v>
      </c>
      <c r="G9" s="22"/>
      <c r="H9" s="44">
        <f t="shared" si="1"/>
        <v>0</v>
      </c>
      <c r="I9" s="20"/>
      <c r="J9" s="69"/>
      <c r="K9" s="44">
        <f t="shared" si="2"/>
        <v>0</v>
      </c>
      <c r="L9" s="44">
        <f t="shared" si="3"/>
        <v>0</v>
      </c>
      <c r="M9" s="45"/>
      <c r="N9" s="45"/>
      <c r="O9" s="45"/>
      <c r="P9" s="99"/>
      <c r="Q9" s="90" t="s">
        <v>310</v>
      </c>
    </row>
    <row r="10" spans="1:17" ht="12.75" x14ac:dyDescent="0.2">
      <c r="A10" s="45"/>
      <c r="B10" s="45"/>
      <c r="C10" s="45"/>
      <c r="D10" s="45"/>
      <c r="E10" s="97"/>
      <c r="F10" s="44">
        <f t="shared" si="0"/>
        <v>0</v>
      </c>
      <c r="G10" s="22"/>
      <c r="H10" s="44">
        <f t="shared" si="1"/>
        <v>0</v>
      </c>
      <c r="I10" s="20"/>
      <c r="J10" s="69"/>
      <c r="K10" s="44">
        <f t="shared" si="2"/>
        <v>0</v>
      </c>
      <c r="L10" s="44">
        <f t="shared" si="3"/>
        <v>0</v>
      </c>
      <c r="M10" s="45"/>
      <c r="N10" s="45"/>
      <c r="O10" s="45"/>
      <c r="P10" s="99"/>
    </row>
    <row r="11" spans="1:17" x14ac:dyDescent="0.2">
      <c r="A11" s="45"/>
      <c r="B11" s="45"/>
      <c r="C11" s="45"/>
      <c r="D11" s="45"/>
      <c r="E11" s="97"/>
      <c r="F11" s="98"/>
      <c r="G11" s="98"/>
      <c r="H11" s="98"/>
      <c r="I11" s="45"/>
      <c r="J11" s="97"/>
      <c r="K11" s="98"/>
      <c r="L11" s="98"/>
      <c r="M11" s="45"/>
      <c r="N11" s="45"/>
      <c r="O11" s="45"/>
      <c r="P11" s="99"/>
    </row>
    <row r="12" spans="1:17" x14ac:dyDescent="0.2">
      <c r="A12" s="45"/>
      <c r="B12" s="45"/>
      <c r="C12" s="45"/>
      <c r="D12" s="45"/>
      <c r="E12" s="97"/>
      <c r="F12" s="98"/>
      <c r="G12" s="98"/>
      <c r="H12" s="98"/>
      <c r="I12" s="45"/>
      <c r="J12" s="97"/>
      <c r="K12" s="98"/>
      <c r="L12" s="98"/>
      <c r="M12" s="45"/>
      <c r="N12" s="45"/>
      <c r="O12" s="45"/>
      <c r="P12" s="105"/>
    </row>
    <row r="14" spans="1:17" ht="18.75" x14ac:dyDescent="0.3">
      <c r="E14" s="131" t="s">
        <v>38</v>
      </c>
      <c r="F14" s="107">
        <f>SUM(F2:F12)</f>
        <v>25564.5</v>
      </c>
      <c r="G14" s="107">
        <f>SUM(G2:G12)</f>
        <v>22230</v>
      </c>
      <c r="H14" s="107">
        <f>SUM(H2:H12)</f>
        <v>3334.5</v>
      </c>
      <c r="J14" s="90"/>
      <c r="K14" s="107">
        <f t="shared" ref="K14:M14" si="4">SUM(K2:K12)</f>
        <v>444.6</v>
      </c>
      <c r="L14" s="107">
        <f t="shared" si="4"/>
        <v>25119.9</v>
      </c>
      <c r="M14" s="106">
        <f t="shared" si="4"/>
        <v>10000</v>
      </c>
      <c r="N14" s="132">
        <f>L14-M14</f>
        <v>15119.900000000001</v>
      </c>
    </row>
    <row r="15" spans="1:17" ht="18.75" x14ac:dyDescent="0.3">
      <c r="E15" s="48" t="s">
        <v>39</v>
      </c>
    </row>
    <row r="16" spans="1:17" x14ac:dyDescent="0.2">
      <c r="M16" s="90" t="s">
        <v>881</v>
      </c>
    </row>
    <row r="17" spans="13:13" x14ac:dyDescent="0.2">
      <c r="M17" s="90" t="s">
        <v>866</v>
      </c>
    </row>
  </sheetData>
  <hyperlinks>
    <hyperlink ref="E14" location="HOME!A1" display="HOME" xr:uid="{00000000-0004-0000-2000-000000000000}"/>
    <hyperlink ref="E15" location="MONTHWISE!A1" display="Monthwise" xr:uid="{00000000-0004-0000-20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15"/>
  <sheetViews>
    <sheetView workbookViewId="0">
      <selection activeCell="E14" sqref="E14"/>
    </sheetView>
  </sheetViews>
  <sheetFormatPr defaultRowHeight="15" x14ac:dyDescent="0.25"/>
  <cols>
    <col min="1" max="1" width="11.425781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19.4257812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127" t="s">
        <v>23</v>
      </c>
      <c r="B1" s="128" t="s">
        <v>24</v>
      </c>
      <c r="C1" s="128" t="s">
        <v>25</v>
      </c>
      <c r="D1" s="128" t="s">
        <v>26</v>
      </c>
      <c r="E1" s="128" t="s">
        <v>27</v>
      </c>
      <c r="F1" s="129" t="s">
        <v>28</v>
      </c>
      <c r="G1" s="129" t="s">
        <v>29</v>
      </c>
      <c r="H1" s="129" t="s">
        <v>30</v>
      </c>
      <c r="I1" s="128" t="s">
        <v>31</v>
      </c>
      <c r="J1" s="128" t="s">
        <v>32</v>
      </c>
      <c r="K1" s="129" t="s">
        <v>33</v>
      </c>
      <c r="L1" s="129" t="s">
        <v>20</v>
      </c>
      <c r="M1" s="129" t="s">
        <v>34</v>
      </c>
      <c r="N1" s="129" t="s">
        <v>35</v>
      </c>
      <c r="O1" s="129" t="s">
        <v>36</v>
      </c>
      <c r="P1" s="50" t="s">
        <v>37</v>
      </c>
    </row>
    <row r="2" spans="1:16" x14ac:dyDescent="0.25">
      <c r="A2" s="100" t="s">
        <v>370</v>
      </c>
      <c r="B2" s="100"/>
      <c r="C2" s="100" t="s">
        <v>376</v>
      </c>
      <c r="D2" s="100" t="s">
        <v>80</v>
      </c>
      <c r="E2" s="66" t="s">
        <v>377</v>
      </c>
      <c r="F2" s="75">
        <f t="shared" ref="F2:F10" si="0">SUM(G2:H2)</f>
        <v>21531.45</v>
      </c>
      <c r="G2" s="67">
        <v>18723</v>
      </c>
      <c r="H2" s="75">
        <f t="shared" ref="H2:H10" si="1">G2*15%</f>
        <v>2808.45</v>
      </c>
      <c r="I2" s="124">
        <v>42579</v>
      </c>
      <c r="J2" s="124">
        <f>I2+30</f>
        <v>42609</v>
      </c>
      <c r="K2" s="75">
        <f t="shared" ref="K2:K10" si="2">G2*2%</f>
        <v>374.46</v>
      </c>
      <c r="L2" s="75">
        <f t="shared" ref="L2:L10" si="3">F2-K2</f>
        <v>21156.99</v>
      </c>
      <c r="M2" s="100">
        <v>21156</v>
      </c>
      <c r="N2" s="100" t="s">
        <v>661</v>
      </c>
      <c r="O2" s="10" t="s">
        <v>44</v>
      </c>
      <c r="P2" s="68" t="s">
        <v>122</v>
      </c>
    </row>
    <row r="3" spans="1:16" x14ac:dyDescent="0.25">
      <c r="A3" s="45"/>
      <c r="B3" s="45"/>
      <c r="C3" s="45"/>
      <c r="D3" s="45"/>
      <c r="E3" s="97"/>
      <c r="F3" s="44">
        <f t="shared" si="0"/>
        <v>0</v>
      </c>
      <c r="G3" s="22"/>
      <c r="H3" s="44">
        <f t="shared" si="1"/>
        <v>0</v>
      </c>
      <c r="I3" s="20"/>
      <c r="J3" s="69"/>
      <c r="K3" s="44">
        <f t="shared" si="2"/>
        <v>0</v>
      </c>
      <c r="L3" s="44">
        <f t="shared" si="3"/>
        <v>0</v>
      </c>
      <c r="M3" s="45"/>
      <c r="N3" s="45"/>
      <c r="O3" s="45"/>
      <c r="P3" s="99"/>
    </row>
    <row r="4" spans="1:16" x14ac:dyDescent="0.25">
      <c r="A4" s="45"/>
      <c r="B4" s="45"/>
      <c r="C4" s="45"/>
      <c r="D4" s="45"/>
      <c r="E4" s="45"/>
      <c r="F4" s="44">
        <f t="shared" si="0"/>
        <v>0</v>
      </c>
      <c r="G4" s="22"/>
      <c r="H4" s="44">
        <f t="shared" si="1"/>
        <v>0</v>
      </c>
      <c r="I4" s="20"/>
      <c r="J4" s="69"/>
      <c r="K4" s="44">
        <f t="shared" si="2"/>
        <v>0</v>
      </c>
      <c r="L4" s="44">
        <f t="shared" si="3"/>
        <v>0</v>
      </c>
      <c r="M4" s="45"/>
      <c r="N4" s="45"/>
      <c r="O4" s="45"/>
      <c r="P4" s="99"/>
    </row>
    <row r="5" spans="1:16" x14ac:dyDescent="0.25">
      <c r="A5" s="45"/>
      <c r="B5" s="45"/>
      <c r="C5" s="45"/>
      <c r="D5" s="45"/>
      <c r="E5" s="97"/>
      <c r="F5" s="44">
        <f t="shared" si="0"/>
        <v>0</v>
      </c>
      <c r="G5" s="22"/>
      <c r="H5" s="44">
        <f t="shared" si="1"/>
        <v>0</v>
      </c>
      <c r="I5" s="20"/>
      <c r="J5" s="69"/>
      <c r="K5" s="44">
        <f t="shared" si="2"/>
        <v>0</v>
      </c>
      <c r="L5" s="44">
        <f t="shared" si="3"/>
        <v>0</v>
      </c>
      <c r="M5" s="45"/>
      <c r="N5" s="45"/>
      <c r="O5" s="45"/>
      <c r="P5" s="99"/>
    </row>
    <row r="6" spans="1:16" x14ac:dyDescent="0.25">
      <c r="A6" s="45"/>
      <c r="B6" s="45"/>
      <c r="C6" s="45"/>
      <c r="D6" s="45"/>
      <c r="E6" s="97"/>
      <c r="F6" s="44">
        <f t="shared" si="0"/>
        <v>0</v>
      </c>
      <c r="G6" s="22"/>
      <c r="H6" s="44">
        <f t="shared" si="1"/>
        <v>0</v>
      </c>
      <c r="I6" s="20"/>
      <c r="J6" s="69"/>
      <c r="K6" s="44">
        <f t="shared" si="2"/>
        <v>0</v>
      </c>
      <c r="L6" s="44">
        <f t="shared" si="3"/>
        <v>0</v>
      </c>
      <c r="M6" s="45"/>
      <c r="N6" s="45"/>
      <c r="O6" s="45"/>
      <c r="P6" s="99"/>
    </row>
    <row r="7" spans="1:16" x14ac:dyDescent="0.25">
      <c r="A7" s="45"/>
      <c r="B7" s="45"/>
      <c r="C7" s="45"/>
      <c r="D7" s="45"/>
      <c r="E7" s="97"/>
      <c r="F7" s="44">
        <f t="shared" si="0"/>
        <v>0</v>
      </c>
      <c r="G7" s="22"/>
      <c r="H7" s="44">
        <f t="shared" si="1"/>
        <v>0</v>
      </c>
      <c r="I7" s="20"/>
      <c r="J7" s="69"/>
      <c r="K7" s="44">
        <f t="shared" si="2"/>
        <v>0</v>
      </c>
      <c r="L7" s="44">
        <f t="shared" si="3"/>
        <v>0</v>
      </c>
      <c r="M7" s="45"/>
      <c r="N7" s="45"/>
      <c r="O7" s="45"/>
      <c r="P7" s="99"/>
    </row>
    <row r="8" spans="1:16" x14ac:dyDescent="0.25">
      <c r="A8" s="45"/>
      <c r="B8" s="45"/>
      <c r="C8" s="45"/>
      <c r="D8" s="105"/>
      <c r="E8" s="97"/>
      <c r="F8" s="44">
        <f t="shared" si="0"/>
        <v>0</v>
      </c>
      <c r="G8" s="22"/>
      <c r="H8" s="44">
        <f t="shared" si="1"/>
        <v>0</v>
      </c>
      <c r="I8" s="20"/>
      <c r="J8" s="69"/>
      <c r="K8" s="44">
        <f t="shared" si="2"/>
        <v>0</v>
      </c>
      <c r="L8" s="44">
        <f t="shared" si="3"/>
        <v>0</v>
      </c>
      <c r="M8" s="45"/>
      <c r="N8" s="45"/>
      <c r="O8" s="45"/>
      <c r="P8" s="99"/>
    </row>
    <row r="9" spans="1:16" x14ac:dyDescent="0.25">
      <c r="A9" s="45"/>
      <c r="B9" s="45"/>
      <c r="C9" s="45"/>
      <c r="D9" s="105"/>
      <c r="E9" s="97"/>
      <c r="F9" s="44">
        <f t="shared" si="0"/>
        <v>0</v>
      </c>
      <c r="G9" s="22"/>
      <c r="H9" s="44">
        <f t="shared" si="1"/>
        <v>0</v>
      </c>
      <c r="I9" s="20"/>
      <c r="J9" s="69"/>
      <c r="K9" s="44">
        <f t="shared" si="2"/>
        <v>0</v>
      </c>
      <c r="L9" s="44">
        <f t="shared" si="3"/>
        <v>0</v>
      </c>
      <c r="M9" s="45"/>
      <c r="N9" s="45"/>
      <c r="O9" s="45"/>
      <c r="P9" s="99"/>
    </row>
    <row r="10" spans="1:16" x14ac:dyDescent="0.25">
      <c r="A10" s="45"/>
      <c r="B10" s="45"/>
      <c r="C10" s="45"/>
      <c r="D10" s="45"/>
      <c r="E10" s="97"/>
      <c r="F10" s="44">
        <f t="shared" si="0"/>
        <v>0</v>
      </c>
      <c r="G10" s="22"/>
      <c r="H10" s="44">
        <f t="shared" si="1"/>
        <v>0</v>
      </c>
      <c r="I10" s="20"/>
      <c r="J10" s="69"/>
      <c r="K10" s="44">
        <f t="shared" si="2"/>
        <v>0</v>
      </c>
      <c r="L10" s="44">
        <f t="shared" si="3"/>
        <v>0</v>
      </c>
      <c r="M10" s="45"/>
      <c r="N10" s="45"/>
      <c r="O10" s="45"/>
      <c r="P10" s="99"/>
    </row>
    <row r="11" spans="1:16" x14ac:dyDescent="0.25">
      <c r="A11" s="45"/>
      <c r="B11" s="45"/>
      <c r="C11" s="45"/>
      <c r="D11" s="45"/>
      <c r="E11" s="97"/>
      <c r="F11" s="98"/>
      <c r="G11" s="98"/>
      <c r="H11" s="98"/>
      <c r="I11" s="45"/>
      <c r="J11" s="97"/>
      <c r="K11" s="98"/>
      <c r="L11" s="98"/>
      <c r="M11" s="45"/>
      <c r="N11" s="45"/>
      <c r="O11" s="45"/>
      <c r="P11" s="99"/>
    </row>
    <row r="12" spans="1:16" x14ac:dyDescent="0.25">
      <c r="A12" s="45"/>
      <c r="B12" s="45"/>
      <c r="C12" s="45"/>
      <c r="D12" s="45"/>
      <c r="E12" s="97"/>
      <c r="F12" s="98"/>
      <c r="G12" s="98"/>
      <c r="H12" s="98"/>
      <c r="I12" s="45"/>
      <c r="J12" s="97"/>
      <c r="K12" s="98"/>
      <c r="L12" s="98"/>
      <c r="M12" s="45"/>
      <c r="N12" s="45"/>
      <c r="O12" s="45"/>
      <c r="P12" s="105"/>
    </row>
    <row r="13" spans="1:16" x14ac:dyDescent="0.25">
      <c r="A13" s="90"/>
      <c r="B13" s="90"/>
      <c r="C13" s="90"/>
      <c r="D13" s="90"/>
      <c r="E13" s="134"/>
      <c r="F13" s="108"/>
      <c r="G13" s="133"/>
      <c r="H13" s="108"/>
      <c r="I13" s="90"/>
      <c r="J13" s="134"/>
      <c r="K13" s="133"/>
      <c r="L13" s="108"/>
      <c r="M13" s="90"/>
      <c r="N13" s="90"/>
      <c r="O13" s="90"/>
      <c r="P13" s="90"/>
    </row>
    <row r="14" spans="1:16" ht="18.75" x14ac:dyDescent="0.3">
      <c r="A14" s="90"/>
      <c r="B14" s="90"/>
      <c r="C14" s="90"/>
      <c r="D14" s="90"/>
      <c r="E14" s="131" t="s">
        <v>38</v>
      </c>
      <c r="F14" s="107">
        <f>SUM(F2:F12)</f>
        <v>21531.45</v>
      </c>
      <c r="G14" s="107">
        <f>SUM(G2:G12)</f>
        <v>18723</v>
      </c>
      <c r="H14" s="107">
        <f>SUM(H2:H12)</f>
        <v>2808.45</v>
      </c>
      <c r="I14" s="90"/>
      <c r="J14" s="90"/>
      <c r="K14" s="107">
        <f t="shared" ref="K14:M14" si="4">SUM(K2:K12)</f>
        <v>374.46</v>
      </c>
      <c r="L14" s="107">
        <f t="shared" si="4"/>
        <v>21156.99</v>
      </c>
      <c r="M14" s="106">
        <f t="shared" si="4"/>
        <v>21156</v>
      </c>
      <c r="N14" s="132"/>
      <c r="O14" s="90"/>
      <c r="P14" s="90"/>
    </row>
    <row r="15" spans="1:16" ht="18.75" x14ac:dyDescent="0.3">
      <c r="E15" s="48" t="s">
        <v>39</v>
      </c>
    </row>
  </sheetData>
  <hyperlinks>
    <hyperlink ref="E14" location="HOME!A1" display="HOME" xr:uid="{00000000-0004-0000-2100-000000000000}"/>
    <hyperlink ref="E15" location="MONTHWISE!A1" display="Monthwise" xr:uid="{00000000-0004-0000-21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31"/>
  <sheetViews>
    <sheetView workbookViewId="0">
      <selection activeCell="K2" sqref="K2"/>
    </sheetView>
  </sheetViews>
  <sheetFormatPr defaultColWidth="9.140625" defaultRowHeight="12.75" x14ac:dyDescent="0.2"/>
  <cols>
    <col min="1" max="1" width="11.140625" style="39" bestFit="1" customWidth="1"/>
    <col min="2" max="2" width="5.5703125" style="39" bestFit="1" customWidth="1"/>
    <col min="3" max="3" width="8.7109375" style="39" bestFit="1" customWidth="1"/>
    <col min="4" max="4" width="5.5703125" style="39" bestFit="1" customWidth="1"/>
    <col min="5" max="5" width="27.85546875" style="42" bestFit="1" customWidth="1"/>
    <col min="6" max="6" width="10.42578125" style="42" bestFit="1" customWidth="1"/>
    <col min="7" max="7" width="9.28515625" style="42" bestFit="1" customWidth="1"/>
    <col min="8" max="8" width="8.7109375" style="42" bestFit="1" customWidth="1"/>
    <col min="9" max="9" width="10.7109375" style="39" bestFit="1" customWidth="1"/>
    <col min="10" max="10" width="7.42578125" style="42" bestFit="1" customWidth="1"/>
    <col min="11" max="11" width="6.5703125" style="42" bestFit="1" customWidth="1"/>
    <col min="12" max="12" width="12.140625" style="42" bestFit="1" customWidth="1"/>
    <col min="13" max="13" width="13.5703125" style="39" bestFit="1" customWidth="1"/>
    <col min="14" max="14" width="14.85546875" style="39" bestFit="1" customWidth="1"/>
    <col min="15" max="15" width="5.42578125" style="39" bestFit="1" customWidth="1"/>
    <col min="16" max="16" width="8.5703125" style="39" bestFit="1" customWidth="1"/>
    <col min="17" max="16384" width="9.140625" style="39"/>
  </cols>
  <sheetData>
    <row r="1" spans="1:16" x14ac:dyDescent="0.2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x14ac:dyDescent="0.2">
      <c r="A2" s="65" t="s">
        <v>391</v>
      </c>
      <c r="B2" s="65"/>
      <c r="C2" s="65"/>
      <c r="D2" s="65"/>
      <c r="E2" s="67" t="s">
        <v>390</v>
      </c>
      <c r="F2" s="75">
        <f t="shared" ref="F2:F21" si="0">SUM(G2:H2)</f>
        <v>8692.85</v>
      </c>
      <c r="G2" s="67">
        <v>7559</v>
      </c>
      <c r="H2" s="75">
        <f>G2*15%</f>
        <v>1133.8499999999999</v>
      </c>
      <c r="I2" s="65"/>
      <c r="J2" s="67"/>
      <c r="K2" s="75">
        <f t="shared" ref="K2:K21" si="1">G2*2%</f>
        <v>151.18</v>
      </c>
      <c r="L2" s="75">
        <f t="shared" ref="L2:L21" si="2">F2-K2</f>
        <v>8541.67</v>
      </c>
      <c r="M2" s="65">
        <v>8542</v>
      </c>
      <c r="N2" s="65" t="s">
        <v>455</v>
      </c>
      <c r="O2" s="10" t="s">
        <v>44</v>
      </c>
      <c r="P2" s="68" t="s">
        <v>122</v>
      </c>
    </row>
    <row r="3" spans="1:16" x14ac:dyDescent="0.2">
      <c r="A3" s="20"/>
      <c r="B3" s="20"/>
      <c r="C3" s="20"/>
      <c r="D3" s="20"/>
      <c r="E3" s="22"/>
      <c r="F3" s="44"/>
      <c r="G3" s="22"/>
      <c r="H3" s="44"/>
      <c r="I3" s="20"/>
      <c r="J3" s="22"/>
      <c r="K3" s="44"/>
      <c r="L3" s="44"/>
      <c r="M3" s="20"/>
      <c r="N3" s="20"/>
      <c r="O3" s="95"/>
      <c r="P3" s="117"/>
    </row>
    <row r="4" spans="1:16" x14ac:dyDescent="0.2">
      <c r="A4" s="40"/>
      <c r="B4" s="40"/>
      <c r="C4" s="20"/>
      <c r="D4" s="40"/>
      <c r="E4" s="22"/>
      <c r="F4" s="44">
        <f t="shared" si="0"/>
        <v>0</v>
      </c>
      <c r="G4" s="22"/>
      <c r="H4" s="44">
        <f t="shared" ref="H4:H21" si="3">G4*15%</f>
        <v>0</v>
      </c>
      <c r="I4" s="20"/>
      <c r="J4" s="22"/>
      <c r="K4" s="44">
        <f t="shared" si="1"/>
        <v>0</v>
      </c>
      <c r="L4" s="44">
        <f t="shared" si="2"/>
        <v>0</v>
      </c>
      <c r="M4" s="20"/>
      <c r="N4" s="20"/>
      <c r="O4" s="95"/>
      <c r="P4" s="117"/>
    </row>
    <row r="5" spans="1:16" x14ac:dyDescent="0.2">
      <c r="A5" s="20"/>
      <c r="B5" s="20"/>
      <c r="C5" s="20"/>
      <c r="D5" s="20"/>
      <c r="E5" s="22"/>
      <c r="F5" s="44">
        <f t="shared" si="0"/>
        <v>0</v>
      </c>
      <c r="G5" s="22"/>
      <c r="H5" s="44">
        <f t="shared" si="3"/>
        <v>0</v>
      </c>
      <c r="I5" s="20"/>
      <c r="J5" s="22"/>
      <c r="K5" s="44">
        <f t="shared" si="1"/>
        <v>0</v>
      </c>
      <c r="L5" s="44">
        <f t="shared" si="2"/>
        <v>0</v>
      </c>
      <c r="M5" s="20"/>
      <c r="N5" s="20"/>
      <c r="O5" s="95"/>
      <c r="P5" s="117"/>
    </row>
    <row r="6" spans="1:16" x14ac:dyDescent="0.2">
      <c r="A6" s="20"/>
      <c r="B6" s="20"/>
      <c r="C6" s="20"/>
      <c r="D6" s="20"/>
      <c r="E6" s="22"/>
      <c r="F6" s="44">
        <f t="shared" si="0"/>
        <v>0</v>
      </c>
      <c r="G6" s="22"/>
      <c r="H6" s="44">
        <f t="shared" si="3"/>
        <v>0</v>
      </c>
      <c r="I6" s="20"/>
      <c r="J6" s="22"/>
      <c r="K6" s="44">
        <f t="shared" si="1"/>
        <v>0</v>
      </c>
      <c r="L6" s="44">
        <f t="shared" si="2"/>
        <v>0</v>
      </c>
      <c r="M6" s="20"/>
      <c r="N6" s="20"/>
      <c r="O6" s="20"/>
      <c r="P6" s="121"/>
    </row>
    <row r="7" spans="1:16" x14ac:dyDescent="0.2">
      <c r="A7" s="20"/>
      <c r="B7" s="20"/>
      <c r="C7" s="20"/>
      <c r="D7" s="20"/>
      <c r="E7" s="22"/>
      <c r="F7" s="44">
        <f t="shared" si="0"/>
        <v>0</v>
      </c>
      <c r="G7" s="22"/>
      <c r="H7" s="44">
        <f t="shared" si="3"/>
        <v>0</v>
      </c>
      <c r="I7" s="20"/>
      <c r="J7" s="22"/>
      <c r="K7" s="44">
        <f t="shared" si="1"/>
        <v>0</v>
      </c>
      <c r="L7" s="44">
        <f t="shared" si="2"/>
        <v>0</v>
      </c>
      <c r="M7" s="20"/>
      <c r="N7" s="20"/>
      <c r="O7" s="20"/>
      <c r="P7" s="121"/>
    </row>
    <row r="8" spans="1:16" x14ac:dyDescent="0.2">
      <c r="A8" s="20"/>
      <c r="B8" s="20"/>
      <c r="C8" s="20"/>
      <c r="D8" s="20"/>
      <c r="E8" s="22"/>
      <c r="F8" s="44">
        <f t="shared" si="0"/>
        <v>0</v>
      </c>
      <c r="G8" s="22"/>
      <c r="H8" s="44">
        <f t="shared" si="3"/>
        <v>0</v>
      </c>
      <c r="I8" s="20"/>
      <c r="J8" s="22"/>
      <c r="K8" s="44">
        <f t="shared" si="1"/>
        <v>0</v>
      </c>
      <c r="L8" s="44">
        <f t="shared" si="2"/>
        <v>0</v>
      </c>
      <c r="M8" s="20"/>
      <c r="N8" s="20"/>
      <c r="O8" s="20"/>
      <c r="P8" s="121"/>
    </row>
    <row r="9" spans="1:16" x14ac:dyDescent="0.2">
      <c r="A9" s="20"/>
      <c r="B9" s="20"/>
      <c r="C9" s="20"/>
      <c r="D9" s="20"/>
      <c r="E9" s="22"/>
      <c r="F9" s="44">
        <f t="shared" si="0"/>
        <v>0</v>
      </c>
      <c r="G9" s="22"/>
      <c r="H9" s="44">
        <f t="shared" si="3"/>
        <v>0</v>
      </c>
      <c r="I9" s="20"/>
      <c r="J9" s="22"/>
      <c r="K9" s="44">
        <f t="shared" si="1"/>
        <v>0</v>
      </c>
      <c r="L9" s="44">
        <f t="shared" si="2"/>
        <v>0</v>
      </c>
      <c r="M9" s="20"/>
      <c r="N9" s="20"/>
      <c r="O9" s="20"/>
      <c r="P9" s="121"/>
    </row>
    <row r="10" spans="1:16" x14ac:dyDescent="0.2">
      <c r="A10" s="20"/>
      <c r="B10" s="20"/>
      <c r="C10" s="20"/>
      <c r="D10" s="20"/>
      <c r="E10" s="22"/>
      <c r="F10" s="44">
        <f t="shared" si="0"/>
        <v>0</v>
      </c>
      <c r="G10" s="22"/>
      <c r="H10" s="44">
        <f t="shared" si="3"/>
        <v>0</v>
      </c>
      <c r="I10" s="20"/>
      <c r="J10" s="22"/>
      <c r="K10" s="44">
        <f t="shared" si="1"/>
        <v>0</v>
      </c>
      <c r="L10" s="44">
        <f t="shared" si="2"/>
        <v>0</v>
      </c>
      <c r="M10" s="20"/>
      <c r="N10" s="20"/>
      <c r="O10" s="20"/>
      <c r="P10" s="121"/>
    </row>
    <row r="11" spans="1:16" x14ac:dyDescent="0.2">
      <c r="A11" s="20"/>
      <c r="B11" s="20"/>
      <c r="C11" s="20"/>
      <c r="D11" s="20"/>
      <c r="E11" s="22"/>
      <c r="F11" s="44">
        <f t="shared" si="0"/>
        <v>0</v>
      </c>
      <c r="G11" s="22"/>
      <c r="H11" s="44">
        <f t="shared" si="3"/>
        <v>0</v>
      </c>
      <c r="I11" s="20"/>
      <c r="J11" s="22"/>
      <c r="K11" s="44">
        <f t="shared" si="1"/>
        <v>0</v>
      </c>
      <c r="L11" s="44">
        <f t="shared" si="2"/>
        <v>0</v>
      </c>
      <c r="M11" s="20"/>
      <c r="N11" s="20"/>
      <c r="O11" s="20"/>
      <c r="P11" s="121"/>
    </row>
    <row r="12" spans="1:16" x14ac:dyDescent="0.2">
      <c r="A12" s="20"/>
      <c r="B12" s="20"/>
      <c r="C12" s="20"/>
      <c r="D12" s="20"/>
      <c r="E12" s="22"/>
      <c r="F12" s="44">
        <f t="shared" si="0"/>
        <v>0</v>
      </c>
      <c r="G12" s="22"/>
      <c r="H12" s="44">
        <f t="shared" si="3"/>
        <v>0</v>
      </c>
      <c r="I12" s="20"/>
      <c r="J12" s="22"/>
      <c r="K12" s="44">
        <f t="shared" si="1"/>
        <v>0</v>
      </c>
      <c r="L12" s="44">
        <f t="shared" si="2"/>
        <v>0</v>
      </c>
      <c r="M12" s="20"/>
      <c r="N12" s="20"/>
      <c r="O12" s="20"/>
      <c r="P12" s="121"/>
    </row>
    <row r="13" spans="1:16" x14ac:dyDescent="0.2">
      <c r="A13" s="20"/>
      <c r="B13" s="20"/>
      <c r="C13" s="20"/>
      <c r="D13" s="20"/>
      <c r="E13" s="22"/>
      <c r="F13" s="44">
        <f t="shared" si="0"/>
        <v>0</v>
      </c>
      <c r="G13" s="22"/>
      <c r="H13" s="44">
        <f t="shared" si="3"/>
        <v>0</v>
      </c>
      <c r="I13" s="20"/>
      <c r="J13" s="22"/>
      <c r="K13" s="44">
        <f t="shared" si="1"/>
        <v>0</v>
      </c>
      <c r="L13" s="44">
        <f t="shared" si="2"/>
        <v>0</v>
      </c>
      <c r="M13" s="20"/>
      <c r="N13" s="20"/>
      <c r="O13" s="20"/>
      <c r="P13" s="121"/>
    </row>
    <row r="14" spans="1:16" x14ac:dyDescent="0.2">
      <c r="A14" s="20"/>
      <c r="B14" s="20"/>
      <c r="C14" s="20"/>
      <c r="D14" s="20"/>
      <c r="E14" s="22"/>
      <c r="F14" s="44">
        <f t="shared" si="0"/>
        <v>0</v>
      </c>
      <c r="G14" s="22"/>
      <c r="H14" s="44">
        <f t="shared" si="3"/>
        <v>0</v>
      </c>
      <c r="I14" s="20"/>
      <c r="J14" s="22"/>
      <c r="K14" s="44">
        <f t="shared" si="1"/>
        <v>0</v>
      </c>
      <c r="L14" s="44">
        <f t="shared" si="2"/>
        <v>0</v>
      </c>
      <c r="M14" s="20"/>
      <c r="N14" s="20"/>
      <c r="O14" s="20"/>
      <c r="P14" s="121"/>
    </row>
    <row r="15" spans="1:16" x14ac:dyDescent="0.2">
      <c r="A15" s="20"/>
      <c r="B15" s="20"/>
      <c r="C15" s="20"/>
      <c r="D15" s="20"/>
      <c r="E15" s="22"/>
      <c r="F15" s="44">
        <f t="shared" si="0"/>
        <v>0</v>
      </c>
      <c r="G15" s="22"/>
      <c r="H15" s="44">
        <f t="shared" si="3"/>
        <v>0</v>
      </c>
      <c r="I15" s="20"/>
      <c r="J15" s="22"/>
      <c r="K15" s="44">
        <f t="shared" si="1"/>
        <v>0</v>
      </c>
      <c r="L15" s="44">
        <f t="shared" si="2"/>
        <v>0</v>
      </c>
      <c r="M15" s="20"/>
      <c r="N15" s="20"/>
      <c r="O15" s="20"/>
      <c r="P15" s="121"/>
    </row>
    <row r="16" spans="1:16" x14ac:dyDescent="0.2">
      <c r="A16" s="20"/>
      <c r="B16" s="20"/>
      <c r="C16" s="20"/>
      <c r="D16" s="20"/>
      <c r="E16" s="22"/>
      <c r="F16" s="44">
        <f t="shared" si="0"/>
        <v>0</v>
      </c>
      <c r="G16" s="22"/>
      <c r="H16" s="44">
        <f t="shared" si="3"/>
        <v>0</v>
      </c>
      <c r="I16" s="20"/>
      <c r="J16" s="22"/>
      <c r="K16" s="44">
        <f t="shared" si="1"/>
        <v>0</v>
      </c>
      <c r="L16" s="44">
        <f t="shared" si="2"/>
        <v>0</v>
      </c>
      <c r="M16" s="20"/>
      <c r="N16" s="20"/>
      <c r="O16" s="20"/>
      <c r="P16" s="121"/>
    </row>
    <row r="17" spans="1:16" x14ac:dyDescent="0.2">
      <c r="A17" s="28"/>
      <c r="B17" s="28"/>
      <c r="C17" s="28"/>
      <c r="D17" s="28"/>
      <c r="E17" s="30"/>
      <c r="F17" s="44">
        <f t="shared" si="0"/>
        <v>0</v>
      </c>
      <c r="G17" s="30"/>
      <c r="H17" s="44">
        <f t="shared" si="3"/>
        <v>0</v>
      </c>
      <c r="I17" s="28"/>
      <c r="J17" s="30"/>
      <c r="K17" s="44">
        <f t="shared" si="1"/>
        <v>0</v>
      </c>
      <c r="L17" s="44">
        <f t="shared" si="2"/>
        <v>0</v>
      </c>
      <c r="M17" s="28"/>
      <c r="N17" s="28"/>
      <c r="O17" s="28"/>
      <c r="P17" s="43"/>
    </row>
    <row r="18" spans="1:16" x14ac:dyDescent="0.2">
      <c r="A18" s="17"/>
      <c r="B18" s="17"/>
      <c r="C18" s="17"/>
      <c r="D18" s="17"/>
      <c r="E18" s="44"/>
      <c r="F18" s="44">
        <f t="shared" si="0"/>
        <v>0</v>
      </c>
      <c r="G18" s="44"/>
      <c r="H18" s="44">
        <f t="shared" si="3"/>
        <v>0</v>
      </c>
      <c r="I18" s="17"/>
      <c r="J18" s="44"/>
      <c r="K18" s="44">
        <f t="shared" si="1"/>
        <v>0</v>
      </c>
      <c r="L18" s="44">
        <f t="shared" si="2"/>
        <v>0</v>
      </c>
      <c r="M18" s="17"/>
      <c r="N18" s="86"/>
      <c r="O18" s="17"/>
      <c r="P18" s="43"/>
    </row>
    <row r="19" spans="1:16" x14ac:dyDescent="0.2">
      <c r="A19" s="17"/>
      <c r="B19" s="17"/>
      <c r="C19" s="17"/>
      <c r="D19" s="17"/>
      <c r="E19" s="44"/>
      <c r="F19" s="44">
        <f t="shared" si="0"/>
        <v>0</v>
      </c>
      <c r="G19" s="44"/>
      <c r="H19" s="44">
        <f t="shared" si="3"/>
        <v>0</v>
      </c>
      <c r="I19" s="17"/>
      <c r="J19" s="44"/>
      <c r="K19" s="44">
        <f t="shared" si="1"/>
        <v>0</v>
      </c>
      <c r="L19" s="44">
        <f t="shared" si="2"/>
        <v>0</v>
      </c>
      <c r="M19" s="17"/>
      <c r="N19" s="17"/>
      <c r="O19" s="17"/>
      <c r="P19" s="43"/>
    </row>
    <row r="20" spans="1:16" x14ac:dyDescent="0.2">
      <c r="A20" s="17"/>
      <c r="B20" s="17"/>
      <c r="C20" s="17"/>
      <c r="D20" s="17"/>
      <c r="E20" s="44"/>
      <c r="F20" s="44">
        <f t="shared" si="0"/>
        <v>0</v>
      </c>
      <c r="G20" s="44"/>
      <c r="H20" s="44">
        <f t="shared" si="3"/>
        <v>0</v>
      </c>
      <c r="I20" s="17"/>
      <c r="J20" s="44"/>
      <c r="K20" s="44">
        <f t="shared" si="1"/>
        <v>0</v>
      </c>
      <c r="L20" s="44">
        <f t="shared" si="2"/>
        <v>0</v>
      </c>
      <c r="M20" s="17"/>
      <c r="N20" s="17"/>
      <c r="O20" s="17"/>
      <c r="P20" s="43"/>
    </row>
    <row r="21" spans="1:16" x14ac:dyDescent="0.2">
      <c r="A21" s="17"/>
      <c r="B21" s="17"/>
      <c r="C21" s="17"/>
      <c r="D21" s="17"/>
      <c r="E21" s="44"/>
      <c r="F21" s="44">
        <f t="shared" si="0"/>
        <v>0</v>
      </c>
      <c r="G21" s="44"/>
      <c r="H21" s="44">
        <f t="shared" si="3"/>
        <v>0</v>
      </c>
      <c r="I21" s="17"/>
      <c r="J21" s="44"/>
      <c r="K21" s="44">
        <f t="shared" si="1"/>
        <v>0</v>
      </c>
      <c r="L21" s="44">
        <f t="shared" si="2"/>
        <v>0</v>
      </c>
      <c r="M21" s="17"/>
      <c r="N21" s="17"/>
      <c r="O21" s="17"/>
      <c r="P21" s="43"/>
    </row>
    <row r="23" spans="1:16" ht="23.25" x14ac:dyDescent="0.35">
      <c r="E23" s="46" t="s">
        <v>38</v>
      </c>
      <c r="F23" s="33">
        <f>SUM(F2:F21)</f>
        <v>8692.85</v>
      </c>
      <c r="G23" s="33">
        <f>SUM(G2:G21)</f>
        <v>7559</v>
      </c>
      <c r="H23" s="33">
        <f>SUM(H2:H21)</f>
        <v>1133.8499999999999</v>
      </c>
      <c r="J23" s="39"/>
      <c r="K23" s="33">
        <f>SUM(K2:K21)</f>
        <v>151.18</v>
      </c>
      <c r="L23" s="33">
        <f>SUM(L2:L21)</f>
        <v>8541.67</v>
      </c>
      <c r="M23" s="33">
        <f>SUM(M2:M21)</f>
        <v>8542</v>
      </c>
    </row>
    <row r="24" spans="1:16" ht="18.75" x14ac:dyDescent="0.3">
      <c r="E24" s="48" t="s">
        <v>39</v>
      </c>
    </row>
    <row r="27" spans="1:16" ht="15" x14ac:dyDescent="0.25">
      <c r="L27" s="112"/>
    </row>
    <row r="28" spans="1:16" ht="15" x14ac:dyDescent="0.25">
      <c r="L28" s="112"/>
    </row>
    <row r="29" spans="1:16" ht="15" x14ac:dyDescent="0.25">
      <c r="L29" s="112"/>
    </row>
    <row r="30" spans="1:16" ht="15" x14ac:dyDescent="0.25">
      <c r="L30" s="112"/>
    </row>
    <row r="31" spans="1:16" ht="15" x14ac:dyDescent="0.25">
      <c r="L31" s="112"/>
    </row>
  </sheetData>
  <hyperlinks>
    <hyperlink ref="E23" location="HOME!A1" display="HOME" xr:uid="{00000000-0004-0000-2200-000000000000}"/>
    <hyperlink ref="E24" location="MONTHWISE!A1" display="Monthwise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19"/>
  <sheetViews>
    <sheetView workbookViewId="0">
      <selection activeCell="E18" sqref="E18"/>
    </sheetView>
  </sheetViews>
  <sheetFormatPr defaultRowHeight="15" x14ac:dyDescent="0.25"/>
  <cols>
    <col min="1" max="1" width="12.140625" bestFit="1" customWidth="1"/>
    <col min="2" max="2" width="5.5703125" bestFit="1" customWidth="1"/>
    <col min="3" max="3" width="8.7109375" bestFit="1" customWidth="1"/>
    <col min="4" max="4" width="5.5703125" bestFit="1" customWidth="1"/>
    <col min="5" max="5" width="27.8554687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s="215" customFormat="1" x14ac:dyDescent="0.25">
      <c r="A2" s="14" t="s">
        <v>613</v>
      </c>
      <c r="B2" s="65"/>
      <c r="C2" s="65" t="s">
        <v>621</v>
      </c>
      <c r="D2" s="65" t="s">
        <v>61</v>
      </c>
      <c r="E2" s="67" t="s">
        <v>620</v>
      </c>
      <c r="F2" s="75">
        <f t="shared" ref="F2:F16" si="0">SUM(G2:H2)</f>
        <v>13874.75</v>
      </c>
      <c r="G2" s="67">
        <v>12065</v>
      </c>
      <c r="H2" s="75">
        <f>G2*15%</f>
        <v>1809.75</v>
      </c>
      <c r="I2" s="124">
        <v>43100</v>
      </c>
      <c r="J2" s="124">
        <f>I2+30</f>
        <v>43130</v>
      </c>
      <c r="K2" s="75">
        <f t="shared" ref="K2:K16" si="1">G2*2%</f>
        <v>241.3</v>
      </c>
      <c r="L2" s="75">
        <f t="shared" ref="L2:L16" si="2">F2-K2</f>
        <v>13633.45</v>
      </c>
      <c r="M2" s="65">
        <v>13633</v>
      </c>
      <c r="N2" s="65" t="s">
        <v>865</v>
      </c>
      <c r="O2" s="10" t="s">
        <v>44</v>
      </c>
      <c r="P2" s="68" t="s">
        <v>122</v>
      </c>
    </row>
    <row r="3" spans="1:16" x14ac:dyDescent="0.25">
      <c r="A3" s="65" t="s">
        <v>711</v>
      </c>
      <c r="B3" s="65"/>
      <c r="C3" s="65" t="s">
        <v>621</v>
      </c>
      <c r="D3" s="65" t="s">
        <v>61</v>
      </c>
      <c r="E3" s="67" t="s">
        <v>715</v>
      </c>
      <c r="F3" s="75">
        <f t="shared" si="0"/>
        <v>12057.75</v>
      </c>
      <c r="G3" s="67">
        <v>10485</v>
      </c>
      <c r="H3" s="75">
        <f t="shared" ref="H3:H9" si="3">G3*15%</f>
        <v>1572.75</v>
      </c>
      <c r="I3" s="65"/>
      <c r="J3" s="67"/>
      <c r="K3" s="75">
        <f t="shared" si="1"/>
        <v>209.70000000000002</v>
      </c>
      <c r="L3" s="75">
        <f t="shared" si="2"/>
        <v>11848.05</v>
      </c>
      <c r="M3" s="65">
        <v>11848</v>
      </c>
      <c r="N3" s="65" t="s">
        <v>865</v>
      </c>
      <c r="O3" s="10" t="s">
        <v>44</v>
      </c>
      <c r="P3" s="68" t="s">
        <v>122</v>
      </c>
    </row>
    <row r="4" spans="1:16" x14ac:dyDescent="0.25">
      <c r="A4" s="40"/>
      <c r="B4" s="40"/>
      <c r="C4" s="20"/>
      <c r="D4" s="40"/>
      <c r="E4" s="22"/>
      <c r="F4" s="44">
        <f t="shared" si="0"/>
        <v>0</v>
      </c>
      <c r="G4" s="22"/>
      <c r="H4" s="44">
        <f t="shared" si="3"/>
        <v>0</v>
      </c>
      <c r="I4" s="20"/>
      <c r="J4" s="22"/>
      <c r="K4" s="44">
        <f t="shared" si="1"/>
        <v>0</v>
      </c>
      <c r="L4" s="44">
        <f t="shared" si="2"/>
        <v>0</v>
      </c>
      <c r="M4" s="20"/>
      <c r="N4" s="20"/>
      <c r="O4" s="95"/>
      <c r="P4" s="117"/>
    </row>
    <row r="5" spans="1:16" x14ac:dyDescent="0.25">
      <c r="A5" s="20"/>
      <c r="B5" s="20"/>
      <c r="C5" s="20"/>
      <c r="D5" s="20"/>
      <c r="E5" s="22"/>
      <c r="F5" s="44">
        <f t="shared" si="0"/>
        <v>0</v>
      </c>
      <c r="G5" s="22"/>
      <c r="H5" s="44">
        <f t="shared" si="3"/>
        <v>0</v>
      </c>
      <c r="I5" s="20"/>
      <c r="J5" s="22"/>
      <c r="K5" s="44">
        <f t="shared" si="1"/>
        <v>0</v>
      </c>
      <c r="L5" s="44">
        <f t="shared" si="2"/>
        <v>0</v>
      </c>
      <c r="M5" s="20"/>
      <c r="N5" s="20"/>
      <c r="O5" s="95"/>
      <c r="P5" s="117"/>
    </row>
    <row r="6" spans="1:16" x14ac:dyDescent="0.25">
      <c r="A6" s="20"/>
      <c r="B6" s="20"/>
      <c r="C6" s="20"/>
      <c r="D6" s="20"/>
      <c r="E6" s="22"/>
      <c r="F6" s="44">
        <f t="shared" si="0"/>
        <v>0</v>
      </c>
      <c r="G6" s="22"/>
      <c r="H6" s="44">
        <f t="shared" si="3"/>
        <v>0</v>
      </c>
      <c r="I6" s="20"/>
      <c r="J6" s="22"/>
      <c r="K6" s="44">
        <f t="shared" si="1"/>
        <v>0</v>
      </c>
      <c r="L6" s="44">
        <f t="shared" si="2"/>
        <v>0</v>
      </c>
      <c r="M6" s="20"/>
      <c r="N6" s="20"/>
      <c r="O6" s="20"/>
      <c r="P6" s="121"/>
    </row>
    <row r="7" spans="1:16" x14ac:dyDescent="0.25">
      <c r="A7" s="20"/>
      <c r="B7" s="20"/>
      <c r="C7" s="20"/>
      <c r="D7" s="20"/>
      <c r="E7" s="22"/>
      <c r="F7" s="44">
        <f t="shared" si="0"/>
        <v>0</v>
      </c>
      <c r="G7" s="22"/>
      <c r="H7" s="44">
        <f t="shared" si="3"/>
        <v>0</v>
      </c>
      <c r="I7" s="20"/>
      <c r="J7" s="22"/>
      <c r="K7" s="44">
        <f t="shared" si="1"/>
        <v>0</v>
      </c>
      <c r="L7" s="44">
        <f t="shared" si="2"/>
        <v>0</v>
      </c>
      <c r="M7" s="20"/>
      <c r="N7" s="20"/>
      <c r="O7" s="20"/>
      <c r="P7" s="121"/>
    </row>
    <row r="8" spans="1:16" x14ac:dyDescent="0.25">
      <c r="A8" s="20"/>
      <c r="B8" s="20"/>
      <c r="C8" s="20"/>
      <c r="D8" s="20"/>
      <c r="E8" s="22"/>
      <c r="F8" s="44">
        <f t="shared" si="0"/>
        <v>0</v>
      </c>
      <c r="G8" s="22"/>
      <c r="H8" s="44">
        <f t="shared" si="3"/>
        <v>0</v>
      </c>
      <c r="I8" s="20"/>
      <c r="J8" s="22"/>
      <c r="K8" s="44">
        <f t="shared" si="1"/>
        <v>0</v>
      </c>
      <c r="L8" s="44">
        <f t="shared" si="2"/>
        <v>0</v>
      </c>
      <c r="M8" s="20"/>
      <c r="N8" s="20"/>
      <c r="O8" s="20"/>
      <c r="P8" s="121"/>
    </row>
    <row r="9" spans="1:16" x14ac:dyDescent="0.25">
      <c r="A9" s="20"/>
      <c r="B9" s="20"/>
      <c r="C9" s="20"/>
      <c r="D9" s="20"/>
      <c r="E9" s="22"/>
      <c r="F9" s="44">
        <f t="shared" si="0"/>
        <v>0</v>
      </c>
      <c r="G9" s="22"/>
      <c r="H9" s="44">
        <f t="shared" si="3"/>
        <v>0</v>
      </c>
      <c r="I9" s="20"/>
      <c r="J9" s="22"/>
      <c r="K9" s="44">
        <f t="shared" si="1"/>
        <v>0</v>
      </c>
      <c r="L9" s="44">
        <f t="shared" si="2"/>
        <v>0</v>
      </c>
      <c r="M9" s="20"/>
      <c r="N9" s="20"/>
      <c r="O9" s="20"/>
      <c r="P9" s="121"/>
    </row>
    <row r="10" spans="1:16" x14ac:dyDescent="0.25">
      <c r="A10" s="20"/>
      <c r="B10" s="20"/>
      <c r="C10" s="20"/>
      <c r="D10" s="20"/>
      <c r="E10" s="22"/>
      <c r="F10" s="44">
        <f t="shared" si="0"/>
        <v>0</v>
      </c>
      <c r="G10" s="22"/>
      <c r="H10" s="44">
        <f t="shared" ref="H10:H16" si="4">G10*15%</f>
        <v>0</v>
      </c>
      <c r="I10" s="20"/>
      <c r="J10" s="22"/>
      <c r="K10" s="44">
        <f t="shared" si="1"/>
        <v>0</v>
      </c>
      <c r="L10" s="44">
        <f t="shared" si="2"/>
        <v>0</v>
      </c>
      <c r="M10" s="20"/>
      <c r="N10" s="20"/>
      <c r="O10" s="20"/>
      <c r="P10" s="121"/>
    </row>
    <row r="11" spans="1:16" x14ac:dyDescent="0.25">
      <c r="A11" s="20"/>
      <c r="B11" s="20"/>
      <c r="C11" s="20"/>
      <c r="D11" s="20"/>
      <c r="E11" s="22"/>
      <c r="F11" s="44">
        <f t="shared" si="0"/>
        <v>0</v>
      </c>
      <c r="G11" s="22"/>
      <c r="H11" s="44">
        <f t="shared" si="4"/>
        <v>0</v>
      </c>
      <c r="I11" s="20"/>
      <c r="J11" s="22"/>
      <c r="K11" s="44">
        <f t="shared" si="1"/>
        <v>0</v>
      </c>
      <c r="L11" s="44">
        <f t="shared" si="2"/>
        <v>0</v>
      </c>
      <c r="M11" s="20"/>
      <c r="N11" s="20"/>
      <c r="O11" s="20"/>
      <c r="P11" s="121"/>
    </row>
    <row r="12" spans="1:16" x14ac:dyDescent="0.25">
      <c r="A12" s="28"/>
      <c r="B12" s="28"/>
      <c r="C12" s="28"/>
      <c r="D12" s="28"/>
      <c r="E12" s="30"/>
      <c r="F12" s="44">
        <f t="shared" si="0"/>
        <v>0</v>
      </c>
      <c r="G12" s="30"/>
      <c r="H12" s="44">
        <f t="shared" si="4"/>
        <v>0</v>
      </c>
      <c r="I12" s="28"/>
      <c r="J12" s="30"/>
      <c r="K12" s="44">
        <f t="shared" si="1"/>
        <v>0</v>
      </c>
      <c r="L12" s="44">
        <f t="shared" si="2"/>
        <v>0</v>
      </c>
      <c r="M12" s="28"/>
      <c r="N12" s="28"/>
      <c r="O12" s="28"/>
      <c r="P12" s="43"/>
    </row>
    <row r="13" spans="1:16" x14ac:dyDescent="0.25">
      <c r="A13" s="17"/>
      <c r="B13" s="17"/>
      <c r="C13" s="17"/>
      <c r="D13" s="17"/>
      <c r="E13" s="44"/>
      <c r="F13" s="44">
        <f t="shared" si="0"/>
        <v>0</v>
      </c>
      <c r="G13" s="44"/>
      <c r="H13" s="44">
        <f t="shared" si="4"/>
        <v>0</v>
      </c>
      <c r="I13" s="17"/>
      <c r="J13" s="44"/>
      <c r="K13" s="44">
        <f t="shared" si="1"/>
        <v>0</v>
      </c>
      <c r="L13" s="44">
        <f t="shared" si="2"/>
        <v>0</v>
      </c>
      <c r="M13" s="17"/>
      <c r="N13" s="86"/>
      <c r="O13" s="17"/>
      <c r="P13" s="43"/>
    </row>
    <row r="14" spans="1:16" x14ac:dyDescent="0.25">
      <c r="A14" s="17"/>
      <c r="B14" s="17"/>
      <c r="C14" s="17"/>
      <c r="D14" s="17"/>
      <c r="E14" s="44"/>
      <c r="F14" s="44">
        <f t="shared" si="0"/>
        <v>0</v>
      </c>
      <c r="G14" s="44"/>
      <c r="H14" s="44">
        <f t="shared" si="4"/>
        <v>0</v>
      </c>
      <c r="I14" s="17"/>
      <c r="J14" s="44"/>
      <c r="K14" s="44">
        <f t="shared" si="1"/>
        <v>0</v>
      </c>
      <c r="L14" s="44">
        <f t="shared" si="2"/>
        <v>0</v>
      </c>
      <c r="M14" s="17"/>
      <c r="N14" s="17"/>
      <c r="O14" s="17"/>
      <c r="P14" s="43"/>
    </row>
    <row r="15" spans="1:16" x14ac:dyDescent="0.25">
      <c r="A15" s="17"/>
      <c r="B15" s="17"/>
      <c r="C15" s="17"/>
      <c r="D15" s="17"/>
      <c r="E15" s="44"/>
      <c r="F15" s="44">
        <f t="shared" si="0"/>
        <v>0</v>
      </c>
      <c r="G15" s="44"/>
      <c r="H15" s="44">
        <f t="shared" si="4"/>
        <v>0</v>
      </c>
      <c r="I15" s="17"/>
      <c r="J15" s="44"/>
      <c r="K15" s="44">
        <f t="shared" si="1"/>
        <v>0</v>
      </c>
      <c r="L15" s="44">
        <f t="shared" si="2"/>
        <v>0</v>
      </c>
      <c r="M15" s="17"/>
      <c r="N15" s="17"/>
      <c r="O15" s="17"/>
      <c r="P15" s="43"/>
    </row>
    <row r="16" spans="1:16" x14ac:dyDescent="0.25">
      <c r="A16" s="17"/>
      <c r="B16" s="17"/>
      <c r="C16" s="17"/>
      <c r="D16" s="17"/>
      <c r="E16" s="44"/>
      <c r="F16" s="44">
        <f t="shared" si="0"/>
        <v>0</v>
      </c>
      <c r="G16" s="44"/>
      <c r="H16" s="44">
        <f t="shared" si="4"/>
        <v>0</v>
      </c>
      <c r="I16" s="17"/>
      <c r="J16" s="44"/>
      <c r="K16" s="44">
        <f t="shared" si="1"/>
        <v>0</v>
      </c>
      <c r="L16" s="44">
        <f t="shared" si="2"/>
        <v>0</v>
      </c>
      <c r="M16" s="17"/>
      <c r="N16" s="17"/>
      <c r="O16" s="17"/>
      <c r="P16" s="43"/>
    </row>
    <row r="17" spans="1:16" x14ac:dyDescent="0.25">
      <c r="A17" s="39"/>
      <c r="B17" s="39"/>
      <c r="C17" s="39"/>
      <c r="D17" s="39"/>
      <c r="E17" s="42"/>
      <c r="F17" s="42"/>
      <c r="G17" s="42"/>
      <c r="H17" s="42"/>
      <c r="I17" s="39"/>
      <c r="J17" s="42"/>
      <c r="K17" s="42"/>
      <c r="L17" s="42"/>
      <c r="M17" s="39"/>
      <c r="N17" s="39"/>
      <c r="O17" s="39"/>
      <c r="P17" s="39"/>
    </row>
    <row r="18" spans="1:16" ht="23.25" x14ac:dyDescent="0.35">
      <c r="A18" s="39"/>
      <c r="B18" s="39"/>
      <c r="C18" s="39"/>
      <c r="D18" s="39"/>
      <c r="E18" s="46" t="s">
        <v>38</v>
      </c>
      <c r="F18" s="33">
        <f>SUM(F2:F16)</f>
        <v>25932.5</v>
      </c>
      <c r="G18" s="33">
        <f>SUM(G2:G16)</f>
        <v>22550</v>
      </c>
      <c r="H18" s="33">
        <f>SUM(H2:H16)</f>
        <v>3382.5</v>
      </c>
      <c r="I18" s="39"/>
      <c r="J18" s="39"/>
      <c r="K18" s="33">
        <f>SUM(K2:K16)</f>
        <v>451</v>
      </c>
      <c r="L18" s="33">
        <f>SUM(L2:L16)</f>
        <v>25481.5</v>
      </c>
      <c r="M18" s="33">
        <f>SUM(M2:M16)</f>
        <v>25481</v>
      </c>
      <c r="N18" s="39"/>
      <c r="O18" s="39"/>
      <c r="P18" s="39"/>
    </row>
    <row r="19" spans="1:16" ht="18.75" x14ac:dyDescent="0.3">
      <c r="E19" s="48" t="s">
        <v>39</v>
      </c>
    </row>
  </sheetData>
  <hyperlinks>
    <hyperlink ref="E18" location="HOME!A1" display="HOME" xr:uid="{00000000-0004-0000-2300-000000000000}"/>
    <hyperlink ref="E19" location="MONTHWISE!A1" display="Monthwise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1"/>
  <dimension ref="A1:P2"/>
  <sheetViews>
    <sheetView workbookViewId="0">
      <selection activeCell="L16" sqref="L16"/>
    </sheetView>
  </sheetViews>
  <sheetFormatPr defaultRowHeight="15" x14ac:dyDescent="0.25"/>
  <cols>
    <col min="1" max="1" width="12.85546875" bestFit="1" customWidth="1"/>
    <col min="2" max="2" width="5.5703125" bestFit="1" customWidth="1"/>
    <col min="3" max="3" width="16.28515625" bestFit="1" customWidth="1"/>
    <col min="4" max="4" width="5.5703125" bestFit="1" customWidth="1"/>
    <col min="5" max="5" width="25.7109375" bestFit="1" customWidth="1"/>
    <col min="6" max="6" width="10.42578125" bestFit="1" customWidth="1"/>
    <col min="7" max="7" width="9.28515625" bestFit="1" customWidth="1"/>
    <col min="8" max="8" width="8.7109375" bestFit="1" customWidth="1"/>
    <col min="9" max="9" width="10.7109375" bestFit="1" customWidth="1"/>
    <col min="10" max="10" width="7.42578125" bestFit="1" customWidth="1"/>
    <col min="11" max="11" width="6.5703125" bestFit="1" customWidth="1"/>
    <col min="12" max="12" width="12.140625" bestFit="1" customWidth="1"/>
    <col min="13" max="13" width="13.5703125" bestFit="1" customWidth="1"/>
    <col min="14" max="14" width="14.85546875" bestFit="1" customWidth="1"/>
    <col min="15" max="15" width="5.42578125" bestFit="1" customWidth="1"/>
    <col min="16" max="16" width="8.5703125" bestFit="1" customWidth="1"/>
  </cols>
  <sheetData>
    <row r="1" spans="1:16" x14ac:dyDescent="0.25">
      <c r="A1" s="49" t="s">
        <v>23</v>
      </c>
      <c r="B1" s="36" t="s">
        <v>24</v>
      </c>
      <c r="C1" s="36" t="s">
        <v>25</v>
      </c>
      <c r="D1" s="36" t="s">
        <v>26</v>
      </c>
      <c r="E1" s="36" t="s">
        <v>27</v>
      </c>
      <c r="F1" s="37" t="s">
        <v>28</v>
      </c>
      <c r="G1" s="37" t="s">
        <v>29</v>
      </c>
      <c r="H1" s="37" t="s">
        <v>30</v>
      </c>
      <c r="I1" s="36" t="s">
        <v>31</v>
      </c>
      <c r="J1" s="36" t="s">
        <v>32</v>
      </c>
      <c r="K1" s="37" t="s">
        <v>33</v>
      </c>
      <c r="L1" s="37" t="s">
        <v>20</v>
      </c>
      <c r="M1" s="37" t="s">
        <v>34</v>
      </c>
      <c r="N1" s="37" t="s">
        <v>35</v>
      </c>
      <c r="O1" s="37" t="s">
        <v>36</v>
      </c>
      <c r="P1" s="50" t="s">
        <v>37</v>
      </c>
    </row>
    <row r="2" spans="1:16" s="39" customFormat="1" ht="12.75" x14ac:dyDescent="0.2">
      <c r="A2" s="20" t="s">
        <v>319</v>
      </c>
      <c r="B2" s="20"/>
      <c r="C2" s="20" t="s">
        <v>320</v>
      </c>
      <c r="D2" s="20"/>
      <c r="E2" s="22" t="s">
        <v>321</v>
      </c>
      <c r="F2" s="44">
        <f>SUM(G2:H2)</f>
        <v>24230.489999999998</v>
      </c>
      <c r="G2" s="22">
        <v>21162</v>
      </c>
      <c r="H2" s="44">
        <f>G2*14.5%</f>
        <v>3068.49</v>
      </c>
      <c r="I2" s="20"/>
      <c r="J2" s="22"/>
      <c r="K2" s="44">
        <f>G2*2%</f>
        <v>423.24</v>
      </c>
      <c r="L2" s="44">
        <f>F2-K2</f>
        <v>23807.249999999996</v>
      </c>
      <c r="M2" s="20"/>
      <c r="N2" s="20"/>
      <c r="O2" s="95"/>
      <c r="P2" s="1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MONTHWISE</vt:lpstr>
      <vt:lpstr>HOME</vt:lpstr>
      <vt:lpstr>KOMLI</vt:lpstr>
      <vt:lpstr>Fork Media</vt:lpstr>
      <vt:lpstr>Adomantra</vt:lpstr>
      <vt:lpstr>iCubes</vt:lpstr>
      <vt:lpstr>Media-Conversion</vt:lpstr>
      <vt:lpstr>Bizvin</vt:lpstr>
      <vt:lpstr>SVG+DGM</vt:lpstr>
      <vt:lpstr>Dcreative</vt:lpstr>
      <vt:lpstr>DigiDesk</vt:lpstr>
      <vt:lpstr>Opicle</vt:lpstr>
      <vt:lpstr>Aqugen</vt:lpstr>
      <vt:lpstr>Pracharnama</vt:lpstr>
      <vt:lpstr>Catalyst</vt:lpstr>
      <vt:lpstr>HTTPOOL</vt:lpstr>
      <vt:lpstr>Sense Digital</vt:lpstr>
      <vt:lpstr>AD2Click</vt:lpstr>
      <vt:lpstr>Vertoz</vt:lpstr>
      <vt:lpstr>Mobinet</vt:lpstr>
      <vt:lpstr>OptiMidea</vt:lpstr>
      <vt:lpstr>CTN</vt:lpstr>
      <vt:lpstr>Rappier</vt:lpstr>
      <vt:lpstr>AdsPayMedia</vt:lpstr>
      <vt:lpstr>Adclickzone</vt:lpstr>
      <vt:lpstr>AdSpar</vt:lpstr>
      <vt:lpstr>Esperto</vt:lpstr>
      <vt:lpstr>Adhunterz</vt:lpstr>
      <vt:lpstr>Adzjunction</vt:lpstr>
      <vt:lpstr>Zeematics</vt:lpstr>
      <vt:lpstr>Value First</vt:lpstr>
      <vt:lpstr>Girnarsoft</vt:lpstr>
      <vt:lpstr>Myinsuranceclub</vt:lpstr>
      <vt:lpstr>Refearn</vt:lpstr>
      <vt:lpstr>Admitad</vt:lpstr>
      <vt:lpstr>Xapads</vt:lpstr>
      <vt:lpstr>BAD DEBTS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 Shaikh</dc:creator>
  <cp:lastModifiedBy>Zia Shaikh</cp:lastModifiedBy>
  <dcterms:created xsi:type="dcterms:W3CDTF">2016-08-24T08:35:44Z</dcterms:created>
  <dcterms:modified xsi:type="dcterms:W3CDTF">2020-01-15T13:01:08Z</dcterms:modified>
</cp:coreProperties>
</file>